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735" windowHeight="7260" activeTab="0"/>
  </bookViews>
  <sheets>
    <sheet name="kategorie" sheetId="1" r:id="rId1"/>
    <sheet name="běžec TC 2018" sheetId="2" r:id="rId2"/>
    <sheet name="List1" sheetId="3" r:id="rId3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'kategorie'!$A$1:$G$108</definedName>
  </definedNames>
  <calcPr fullCalcOnLoad="1"/>
</workbook>
</file>

<file path=xl/sharedStrings.xml><?xml version="1.0" encoding="utf-8"?>
<sst xmlns="http://schemas.openxmlformats.org/spreadsheetml/2006/main" count="857" uniqueCount="526">
  <si>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</si>
  <si>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</si>
  <si>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</si>
  <si>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</si>
  <si>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</si>
  <si>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</si>
  <si>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</si>
  <si>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</si>
  <si>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Celk. poř.</t>
  </si>
  <si>
    <t>&lt;TR&gt;&lt;TH&gt;Start. č.&lt;TH&gt;Pořadí&lt;TH&gt;Ročník&lt;TH&gt;Jméno&lt;TH&gt;Oddíl&lt;TH&gt;Čas&lt;TH&gt;Celk. poř.</t>
  </si>
  <si>
    <t>Jan Hora</t>
  </si>
  <si>
    <t>S</t>
  </si>
  <si>
    <t>Stříbro 30.03.2019</t>
  </si>
  <si>
    <t>Polojasno, mírný vítr,  10 stupňů</t>
  </si>
  <si>
    <t>Muži 18 - 39 let (2001 - 1980)</t>
  </si>
  <si>
    <t>Muži 40 - 49 let  (1979 - 1970)</t>
  </si>
  <si>
    <t>Muži 50 - 59 let  (1969 - 1960)</t>
  </si>
  <si>
    <t>Muži 60 - 69 let  (1959 - 1950)</t>
  </si>
  <si>
    <t>Muži 70 a více let   (od 1949)</t>
  </si>
  <si>
    <t>Ženy 18-39 let  (2001 - 1980)</t>
  </si>
  <si>
    <t>Ženy 40 - 49 let  (1979 - 1970)</t>
  </si>
  <si>
    <t>Ženy 50 a více let   (od 1969)</t>
  </si>
  <si>
    <t>Hana Schimmerová</t>
  </si>
  <si>
    <t>BĚH PŘES PEPÍKOVU LÁVKU 2019 - 17.ročník</t>
  </si>
  <si>
    <t>Trávníček Jiří</t>
  </si>
  <si>
    <t>SV Stříbro</t>
  </si>
  <si>
    <t>Stříbro</t>
  </si>
  <si>
    <t>Rabada Petr</t>
  </si>
  <si>
    <t>TJ Baník Stříbro</t>
  </si>
  <si>
    <t>Hrubá Jana</t>
  </si>
  <si>
    <t>Hrubá Karolína</t>
  </si>
  <si>
    <t>Petrovičová Romana</t>
  </si>
  <si>
    <t>Černošín</t>
  </si>
  <si>
    <t>Flaks Jan</t>
  </si>
  <si>
    <t>Mojzešová Milena</t>
  </si>
  <si>
    <t>Lukáš David</t>
  </si>
  <si>
    <t>Tj Sokol SG Plzeň-Petřín</t>
  </si>
  <si>
    <t>Procházka Milan</t>
  </si>
  <si>
    <t>Aces Team Karlovy Vary</t>
  </si>
  <si>
    <t>Kroupa Jaroslav</t>
  </si>
  <si>
    <t>Chodová Planá</t>
  </si>
  <si>
    <t>Rabada František</t>
  </si>
  <si>
    <t>Matulka Adam</t>
  </si>
  <si>
    <t>Tj Baník Stříbro, spolek</t>
  </si>
  <si>
    <t>Suda Josef</t>
  </si>
  <si>
    <t>SK Přimda</t>
  </si>
  <si>
    <t>Procházka Jiří</t>
  </si>
  <si>
    <t>RMT</t>
  </si>
  <si>
    <t>Majer Jan</t>
  </si>
  <si>
    <t>Silvini Madshus team</t>
  </si>
  <si>
    <t>USK Akademik Cheb</t>
  </si>
  <si>
    <t>sv stribro</t>
  </si>
  <si>
    <t>Stahl Jaroslav</t>
  </si>
  <si>
    <t>Sladký Roman</t>
  </si>
  <si>
    <t>Mariánské Lázně</t>
  </si>
  <si>
    <t>Volena Radek</t>
  </si>
  <si>
    <t>Lörik Jan</t>
  </si>
  <si>
    <t>Kotek Silvestr</t>
  </si>
  <si>
    <t>Labanc Štefan</t>
  </si>
  <si>
    <t>Rabada Dušan</t>
  </si>
  <si>
    <t>Macák Jan</t>
  </si>
  <si>
    <t>Houška Petr</t>
  </si>
  <si>
    <t>Poláček Tomáš</t>
  </si>
  <si>
    <t>Matějovský Jan</t>
  </si>
  <si>
    <t>Kučík Štefan</t>
  </si>
  <si>
    <t>Barnáš Vladimír</t>
  </si>
  <si>
    <t xml:space="preserve">Andrlová Markéta </t>
  </si>
  <si>
    <t xml:space="preserve">Stachová Pavla </t>
  </si>
  <si>
    <t>David Ivan</t>
  </si>
  <si>
    <t>Davidová Lucie</t>
  </si>
  <si>
    <t>Baník Stříbro</t>
  </si>
  <si>
    <t>Müllerová Soňa</t>
  </si>
  <si>
    <t>Kopča Lukáš</t>
  </si>
  <si>
    <t>BKV Holýšov</t>
  </si>
  <si>
    <t>Martina Sihelská</t>
  </si>
  <si>
    <t>Švecová Eva</t>
  </si>
  <si>
    <t>Lidl Stříbro</t>
  </si>
  <si>
    <t>Tolar Vladimír</t>
  </si>
  <si>
    <t>Kvasničková Ivana</t>
  </si>
  <si>
    <t>Bláhová Šárka</t>
  </si>
  <si>
    <t>Lukáš Stockelmayer</t>
  </si>
  <si>
    <t>Plzeň</t>
  </si>
  <si>
    <t>Stockelmayerova Pavlína</t>
  </si>
  <si>
    <t>Pospíšil Jan</t>
  </si>
  <si>
    <t>Utah Team Pytlov</t>
  </si>
  <si>
    <t>Běžec Tachovska 2018</t>
  </si>
  <si>
    <t>24. ročník</t>
  </si>
  <si>
    <t>Započítané závody:</t>
  </si>
  <si>
    <t>1.</t>
  </si>
  <si>
    <t>Běh městským parkem "Ganajova stezka" ( 19. ročník )</t>
  </si>
  <si>
    <t>5,4 km</t>
  </si>
  <si>
    <t>24.2.</t>
  </si>
  <si>
    <t>2.</t>
  </si>
  <si>
    <t xml:space="preserve">Memoriál Josefa Machta ( 19. ročník ) </t>
  </si>
  <si>
    <t>5 km</t>
  </si>
  <si>
    <t>18.3.</t>
  </si>
  <si>
    <t>Tachov</t>
  </si>
  <si>
    <t>3.</t>
  </si>
  <si>
    <t>Běh přes Pepíkovo lávku ( 16. ročník )</t>
  </si>
  <si>
    <t>7,8 km</t>
  </si>
  <si>
    <t>24.3.</t>
  </si>
  <si>
    <t>4.</t>
  </si>
  <si>
    <t>Velikonoční desítka ( 33. ročník )</t>
  </si>
  <si>
    <t>10 km</t>
  </si>
  <si>
    <t>31.3.</t>
  </si>
  <si>
    <t>5.</t>
  </si>
  <si>
    <t>Běh do kopce ( 22. ročník )</t>
  </si>
  <si>
    <t>4,5 km</t>
  </si>
  <si>
    <t>4.4.</t>
  </si>
  <si>
    <t>6.</t>
  </si>
  <si>
    <t>Běh KERMI ( 10. ročník )</t>
  </si>
  <si>
    <t>10,5 km</t>
  </si>
  <si>
    <t>1.5.</t>
  </si>
  <si>
    <t>7.</t>
  </si>
  <si>
    <t>Běh ke zřícenině ( 16. ročník )</t>
  </si>
  <si>
    <t>9,15 km</t>
  </si>
  <si>
    <t>19.5.</t>
  </si>
  <si>
    <t>Přimda</t>
  </si>
  <si>
    <t>8.</t>
  </si>
  <si>
    <t>Běh historickým Stříbrem ( 28. ročník  ) - Memoriál Petra Bursíka ( 7. ročník )</t>
  </si>
  <si>
    <t>7 km</t>
  </si>
  <si>
    <t>10.6.</t>
  </si>
  <si>
    <t>9.</t>
  </si>
  <si>
    <t>Běh Olympijského dne</t>
  </si>
  <si>
    <t>5,8 km</t>
  </si>
  <si>
    <t>20.6.</t>
  </si>
  <si>
    <t>10.</t>
  </si>
  <si>
    <t>Strážský běh ( 1. ročník )</t>
  </si>
  <si>
    <t>6,6 km</t>
  </si>
  <si>
    <t>15.7.</t>
  </si>
  <si>
    <t>Střáž</t>
  </si>
  <si>
    <t>11.</t>
  </si>
  <si>
    <t>Stříbrská hodinovka</t>
  </si>
  <si>
    <t>1 hod</t>
  </si>
  <si>
    <t>23.8.</t>
  </si>
  <si>
    <t>12.</t>
  </si>
  <si>
    <t>Okresní přebor na dráze</t>
  </si>
  <si>
    <t>3000 m</t>
  </si>
  <si>
    <t>6.9.</t>
  </si>
  <si>
    <t>13.</t>
  </si>
  <si>
    <t>Kladrubská pětka ( 4. ročník )</t>
  </si>
  <si>
    <t>16.9.</t>
  </si>
  <si>
    <t>Kladruby</t>
  </si>
  <si>
    <t>14.</t>
  </si>
  <si>
    <t>Večerní běh Tachovem ( 20. ročník )</t>
  </si>
  <si>
    <t>3,3 km</t>
  </si>
  <si>
    <t>20.9.</t>
  </si>
  <si>
    <t>15.</t>
  </si>
  <si>
    <t>Večerní běh Planou ( 20. ročník )</t>
  </si>
  <si>
    <t>3 km</t>
  </si>
  <si>
    <t>27.9.</t>
  </si>
  <si>
    <t>Planá</t>
  </si>
  <si>
    <t>16.</t>
  </si>
  <si>
    <t>Běh kolem Mže ( 48. ročník )</t>
  </si>
  <si>
    <t>9,5 km</t>
  </si>
  <si>
    <t>7.10.</t>
  </si>
  <si>
    <t>17.</t>
  </si>
  <si>
    <t>Běh z Pístova ( 44. ročník )</t>
  </si>
  <si>
    <t>8,38 km</t>
  </si>
  <si>
    <t>14.10.</t>
  </si>
  <si>
    <t>18.</t>
  </si>
  <si>
    <t>Lázeňská osmička ( 7. ročník )</t>
  </si>
  <si>
    <t>8 km</t>
  </si>
  <si>
    <t>17.11.</t>
  </si>
  <si>
    <t>Konstantinovy Lázně</t>
  </si>
  <si>
    <t>19.</t>
  </si>
  <si>
    <t>Mikulášská dvacítka ( 26. ročník )</t>
  </si>
  <si>
    <t>20 km</t>
  </si>
  <si>
    <t>24.11.</t>
  </si>
  <si>
    <t xml:space="preserve">         </t>
  </si>
  <si>
    <t>zrušeno ( ledovka )</t>
  </si>
  <si>
    <t>20.</t>
  </si>
  <si>
    <t>Běh Mikulášské trojice ( 7. ročník )</t>
  </si>
  <si>
    <t>3,9 km</t>
  </si>
  <si>
    <t>1.12.</t>
  </si>
  <si>
    <t>21.</t>
  </si>
  <si>
    <t>Vánoční míle ( 36. ročník )</t>
  </si>
  <si>
    <t>2 míle</t>
  </si>
  <si>
    <t>24.12.</t>
  </si>
  <si>
    <t>22.</t>
  </si>
  <si>
    <t>Silvestrovský běh ( 46. ročník )</t>
  </si>
  <si>
    <t>31.12.</t>
  </si>
  <si>
    <t>Z dvaadvacetiti závodů se započítává patnáct nejlepších výkonů. Sedm nejhorších výkonů je vytištěno slabě.</t>
  </si>
  <si>
    <t>Do soutěže jsou hodnoceni pouze ti závodníci, kteří se zúčastnili alespoň sedmi závodů.</t>
  </si>
  <si>
    <t>Jelikož byl zrušen závod, který byl ke konci seriálu, bude sezapočítávat čtrnáct závodů a do soutěže budou započítáni závodníci, kteří se zúčastní alespoň šesti závodů.</t>
  </si>
  <si>
    <t>poř.</t>
  </si>
  <si>
    <t xml:space="preserve">příjmení, jméno </t>
  </si>
  <si>
    <t>nar.</t>
  </si>
  <si>
    <t>Body</t>
  </si>
  <si>
    <t>Jaša Tomáš</t>
  </si>
  <si>
    <t>Vlasák Jaroslav</t>
  </si>
  <si>
    <t>Šůcha Václav</t>
  </si>
  <si>
    <t>Nejedlý Václav</t>
  </si>
  <si>
    <t>23.</t>
  </si>
  <si>
    <t>Stachová Pavla</t>
  </si>
  <si>
    <t>24.</t>
  </si>
  <si>
    <t>Procházková Patrícia</t>
  </si>
  <si>
    <t>25.</t>
  </si>
  <si>
    <t>Andrle Radek</t>
  </si>
  <si>
    <t>26.</t>
  </si>
  <si>
    <t>27.</t>
  </si>
  <si>
    <t>28.</t>
  </si>
  <si>
    <t>Davidík Jakub</t>
  </si>
  <si>
    <t>29.</t>
  </si>
  <si>
    <t>Havlík Marek</t>
  </si>
  <si>
    <t>30.</t>
  </si>
  <si>
    <t>Vlasák Tomáš</t>
  </si>
  <si>
    <t>31.</t>
  </si>
  <si>
    <t>32.</t>
  </si>
  <si>
    <t>Bečvářová Marcela</t>
  </si>
  <si>
    <t>33.</t>
  </si>
  <si>
    <t>Holátko Milan</t>
  </si>
  <si>
    <t>34.</t>
  </si>
  <si>
    <t>35.</t>
  </si>
  <si>
    <t>Matějka Miloš</t>
  </si>
  <si>
    <t>36.</t>
  </si>
  <si>
    <t>37.</t>
  </si>
  <si>
    <t>38.</t>
  </si>
  <si>
    <t>Kalista Jiří</t>
  </si>
  <si>
    <t>39.</t>
  </si>
  <si>
    <t>Sýkora Vladimír</t>
  </si>
  <si>
    <t>40.</t>
  </si>
  <si>
    <t>Stach Ivan</t>
  </si>
  <si>
    <t>41.</t>
  </si>
  <si>
    <t>Andrlová Markéta</t>
  </si>
  <si>
    <t>42.</t>
  </si>
  <si>
    <t>Štěpáník Petr</t>
  </si>
  <si>
    <t>43.</t>
  </si>
  <si>
    <t>Zíka Josef</t>
  </si>
  <si>
    <t>44.</t>
  </si>
  <si>
    <t>45.</t>
  </si>
  <si>
    <t>Němec Josef</t>
  </si>
  <si>
    <t>46.</t>
  </si>
  <si>
    <t>Lacina Jiří</t>
  </si>
  <si>
    <t>47.</t>
  </si>
  <si>
    <t>Bukovjan Petr</t>
  </si>
  <si>
    <t>48.</t>
  </si>
  <si>
    <t>Kříž Miroslav</t>
  </si>
  <si>
    <t>49.</t>
  </si>
  <si>
    <t>Jáňová Veronika</t>
  </si>
  <si>
    <t>50.</t>
  </si>
  <si>
    <t>Krček Václav</t>
  </si>
  <si>
    <t>51.</t>
  </si>
  <si>
    <t>Šrámek Milan</t>
  </si>
  <si>
    <t>52.</t>
  </si>
  <si>
    <t>Böhm Karel</t>
  </si>
  <si>
    <t>53.</t>
  </si>
  <si>
    <t>54.</t>
  </si>
  <si>
    <t>Šrámková Petra</t>
  </si>
  <si>
    <t>55.</t>
  </si>
  <si>
    <t>56.</t>
  </si>
  <si>
    <t>Leško Jiří</t>
  </si>
  <si>
    <t>57.</t>
  </si>
  <si>
    <t>Lacina Antonín</t>
  </si>
  <si>
    <t>58.</t>
  </si>
  <si>
    <t>Divišová Vladimíra</t>
  </si>
  <si>
    <t>59.</t>
  </si>
  <si>
    <t>Havlíček David</t>
  </si>
  <si>
    <t>60.</t>
  </si>
  <si>
    <t>Šůcha Jan</t>
  </si>
  <si>
    <t>61.</t>
  </si>
  <si>
    <t>62.</t>
  </si>
  <si>
    <t>Straka Jan</t>
  </si>
  <si>
    <t>63.</t>
  </si>
  <si>
    <t>Toman Stanislav</t>
  </si>
  <si>
    <t>64.</t>
  </si>
  <si>
    <t>Šlechtová Štěpánka</t>
  </si>
  <si>
    <t>65.</t>
  </si>
  <si>
    <t>66.</t>
  </si>
  <si>
    <t>Halva Petr</t>
  </si>
  <si>
    <t>67.</t>
  </si>
  <si>
    <t>68.</t>
  </si>
  <si>
    <t>Bronec Martin</t>
  </si>
  <si>
    <t>69.</t>
  </si>
  <si>
    <t>Škarda Zdeněk</t>
  </si>
  <si>
    <t>70.</t>
  </si>
  <si>
    <t>Novák Jiří</t>
  </si>
  <si>
    <t>71.</t>
  </si>
  <si>
    <t>Šrámek Stanislav</t>
  </si>
  <si>
    <t>72.</t>
  </si>
  <si>
    <t>Jukl Karel</t>
  </si>
  <si>
    <t>73.</t>
  </si>
  <si>
    <t>74.</t>
  </si>
  <si>
    <t>Bláha Jan</t>
  </si>
  <si>
    <t>75.</t>
  </si>
  <si>
    <t>Krejčí Matyáš</t>
  </si>
  <si>
    <t>76.</t>
  </si>
  <si>
    <t>Růžičková Gabriela</t>
  </si>
  <si>
    <t>77.</t>
  </si>
  <si>
    <t>Trávníček Štěpán</t>
  </si>
  <si>
    <t>78.</t>
  </si>
  <si>
    <t>Pospíšilová Věra</t>
  </si>
  <si>
    <t>79.</t>
  </si>
  <si>
    <t>Bajerová Michaela</t>
  </si>
  <si>
    <t>80.</t>
  </si>
  <si>
    <t>Bíba Jan</t>
  </si>
  <si>
    <t>81.</t>
  </si>
  <si>
    <t>Meller Petr</t>
  </si>
  <si>
    <t>82.</t>
  </si>
  <si>
    <t>Fürst Luděk</t>
  </si>
  <si>
    <t>83.</t>
  </si>
  <si>
    <t>Novotný Jan</t>
  </si>
  <si>
    <t>84.</t>
  </si>
  <si>
    <t>Čeček Jiří</t>
  </si>
  <si>
    <t>85.</t>
  </si>
  <si>
    <t>Hedrik Erich</t>
  </si>
  <si>
    <t>86.</t>
  </si>
  <si>
    <t>Würknerová Adriana</t>
  </si>
  <si>
    <t>87.</t>
  </si>
  <si>
    <t>Fürstová Daniela</t>
  </si>
  <si>
    <t>88.</t>
  </si>
  <si>
    <t>Sihelská Martina</t>
  </si>
  <si>
    <t>89.</t>
  </si>
  <si>
    <t>Poláková Nikola</t>
  </si>
  <si>
    <t>90.</t>
  </si>
  <si>
    <t>Seidlová Markéta</t>
  </si>
  <si>
    <t>91.</t>
  </si>
  <si>
    <t>Černý Pavel</t>
  </si>
  <si>
    <t>92.</t>
  </si>
  <si>
    <t>93.</t>
  </si>
  <si>
    <t>Pechar Jan</t>
  </si>
  <si>
    <t>94.</t>
  </si>
  <si>
    <t>Šrámek Vojtěch</t>
  </si>
  <si>
    <t>95.</t>
  </si>
  <si>
    <t>Vrška Martin</t>
  </si>
  <si>
    <t>96.</t>
  </si>
  <si>
    <t>Havlíček Jaroslav</t>
  </si>
  <si>
    <t>97.</t>
  </si>
  <si>
    <t>Roháč Sebastian</t>
  </si>
  <si>
    <t>98.</t>
  </si>
  <si>
    <t>Bláhová Jitka</t>
  </si>
  <si>
    <t>99.</t>
  </si>
  <si>
    <t>Stach Ladislav</t>
  </si>
  <si>
    <t>100.</t>
  </si>
  <si>
    <t>Fiedler Lukáš</t>
  </si>
  <si>
    <t>101.</t>
  </si>
  <si>
    <t>Matys Ondřej</t>
  </si>
  <si>
    <t>102.</t>
  </si>
  <si>
    <t>Kňourek Vít</t>
  </si>
  <si>
    <t>103.</t>
  </si>
  <si>
    <t>Jašová Jaroslava</t>
  </si>
  <si>
    <t>104.</t>
  </si>
  <si>
    <t>Jaša Josef</t>
  </si>
  <si>
    <t>105.</t>
  </si>
  <si>
    <t>Petrák Josef</t>
  </si>
  <si>
    <t>106.</t>
  </si>
  <si>
    <t>Polák Tomáš</t>
  </si>
  <si>
    <t>107.</t>
  </si>
  <si>
    <t>Suchánková Eva</t>
  </si>
  <si>
    <t>108.</t>
  </si>
  <si>
    <t>Job Rostislav</t>
  </si>
  <si>
    <t>109.</t>
  </si>
  <si>
    <t>Hála Lubomír</t>
  </si>
  <si>
    <t>110.</t>
  </si>
  <si>
    <t>Bartoš Dalibor</t>
  </si>
  <si>
    <t>111.</t>
  </si>
  <si>
    <t>Nosková Lucie</t>
  </si>
  <si>
    <t>112.</t>
  </si>
  <si>
    <t>Nováková Pavlína</t>
  </si>
  <si>
    <t>113.</t>
  </si>
  <si>
    <t>Pazderová Lenka</t>
  </si>
  <si>
    <t>114.</t>
  </si>
  <si>
    <t>Vlasák Marcel</t>
  </si>
  <si>
    <t>115.</t>
  </si>
  <si>
    <t>Soukup Petr</t>
  </si>
  <si>
    <t>116.</t>
  </si>
  <si>
    <t>Kubálková Natálie</t>
  </si>
  <si>
    <t>117.</t>
  </si>
  <si>
    <t>Málek Milan</t>
  </si>
  <si>
    <t>118.</t>
  </si>
  <si>
    <t>Pospíšil Petr</t>
  </si>
  <si>
    <t>119.</t>
  </si>
  <si>
    <t>Štybar Zdeněk</t>
  </si>
  <si>
    <t>120.</t>
  </si>
  <si>
    <t>Patočka Miroslav</t>
  </si>
  <si>
    <t>121.</t>
  </si>
  <si>
    <t>Votavová Anna</t>
  </si>
  <si>
    <t>122.</t>
  </si>
  <si>
    <t>Mráz Vojtěch</t>
  </si>
  <si>
    <t>123.</t>
  </si>
  <si>
    <t>Tomeš Filip</t>
  </si>
  <si>
    <t>124.</t>
  </si>
  <si>
    <t>Bísek Miroslav</t>
  </si>
  <si>
    <t>125.</t>
  </si>
  <si>
    <t>Dyk Radoslav</t>
  </si>
  <si>
    <t>126.</t>
  </si>
  <si>
    <t>Jiráková Alice</t>
  </si>
  <si>
    <t>127.</t>
  </si>
  <si>
    <t>Vachovec František</t>
  </si>
  <si>
    <t>128.</t>
  </si>
  <si>
    <t>Součková Markéta</t>
  </si>
  <si>
    <t>129.</t>
  </si>
  <si>
    <t>Hradecký Martin</t>
  </si>
  <si>
    <t>130.</t>
  </si>
  <si>
    <t>Beranová Olga</t>
  </si>
  <si>
    <t>131.</t>
  </si>
  <si>
    <t>Novák Michael</t>
  </si>
  <si>
    <t>132.</t>
  </si>
  <si>
    <t>Vondra Zdeněk</t>
  </si>
  <si>
    <t>133.</t>
  </si>
  <si>
    <t>Tengler Tomáš</t>
  </si>
  <si>
    <t>134.</t>
  </si>
  <si>
    <t>135.</t>
  </si>
  <si>
    <t>Podskalský Rudolf</t>
  </si>
  <si>
    <t>136.</t>
  </si>
  <si>
    <t>Kratěna Ivo</t>
  </si>
  <si>
    <t>137.</t>
  </si>
  <si>
    <t>Albert Jakub</t>
  </si>
  <si>
    <t>138.</t>
  </si>
  <si>
    <t>Danko Jan</t>
  </si>
  <si>
    <t>139.</t>
  </si>
  <si>
    <t>Procházka Ondřej</t>
  </si>
  <si>
    <t>140.</t>
  </si>
  <si>
    <t>Zemanová Danuše</t>
  </si>
  <si>
    <t>141.</t>
  </si>
  <si>
    <t>Packanová Kateřina</t>
  </si>
  <si>
    <t>142.</t>
  </si>
  <si>
    <t>Horváthová Denisa</t>
  </si>
  <si>
    <t>143.</t>
  </si>
  <si>
    <t>Bohuslavová Petra</t>
  </si>
  <si>
    <t>144.</t>
  </si>
  <si>
    <t>Zavadský Aleš</t>
  </si>
  <si>
    <t>145.</t>
  </si>
  <si>
    <t>Nečilová Martina</t>
  </si>
  <si>
    <t>146.</t>
  </si>
  <si>
    <t>Trávníčková Monika</t>
  </si>
  <si>
    <t>147.</t>
  </si>
  <si>
    <t>Miklasová Martina</t>
  </si>
  <si>
    <t>148.</t>
  </si>
  <si>
    <t>Krhoun Václav</t>
  </si>
  <si>
    <t>149.</t>
  </si>
  <si>
    <t>Čižmár Tomáš</t>
  </si>
  <si>
    <t>150.</t>
  </si>
  <si>
    <t>Tolar Lukáš</t>
  </si>
  <si>
    <t>151.</t>
  </si>
  <si>
    <t>Tolar Ondřej</t>
  </si>
  <si>
    <t>152.</t>
  </si>
  <si>
    <t>Šulcová Zdeňka</t>
  </si>
  <si>
    <t>153.</t>
  </si>
  <si>
    <t>Bernášek Tomáš</t>
  </si>
  <si>
    <t>154.</t>
  </si>
  <si>
    <t>Trávníčková Michaela</t>
  </si>
  <si>
    <t>155.</t>
  </si>
  <si>
    <t>Zámečník Josef</t>
  </si>
  <si>
    <t>156.</t>
  </si>
  <si>
    <t>Haas Martin</t>
  </si>
  <si>
    <t>157.</t>
  </si>
  <si>
    <t>Löblová Zuzana</t>
  </si>
  <si>
    <t>158.</t>
  </si>
  <si>
    <t>Šperl František</t>
  </si>
  <si>
    <t>159.</t>
  </si>
  <si>
    <t>Matys Matyáš</t>
  </si>
  <si>
    <t>160.</t>
  </si>
  <si>
    <t>Čepičanová Zdeňka</t>
  </si>
  <si>
    <t>161.</t>
  </si>
  <si>
    <t>Vlasáková Lucie</t>
  </si>
  <si>
    <t>162.</t>
  </si>
  <si>
    <t>Davídková Miroslava</t>
  </si>
  <si>
    <t>163.</t>
  </si>
  <si>
    <t>Moročkovskij Ivo</t>
  </si>
  <si>
    <t>164.</t>
  </si>
  <si>
    <t>Bernášková Alena</t>
  </si>
  <si>
    <t>165.</t>
  </si>
  <si>
    <t>Jaša Ondřej</t>
  </si>
  <si>
    <t>166.</t>
  </si>
  <si>
    <t>Pejšová Simona</t>
  </si>
  <si>
    <t>167.</t>
  </si>
  <si>
    <t>Kurcová Eliška</t>
  </si>
  <si>
    <t>168.</t>
  </si>
  <si>
    <t xml:space="preserve">Sochorová Lucie </t>
  </si>
  <si>
    <t>169.</t>
  </si>
  <si>
    <t>Ščasný Miloslav</t>
  </si>
  <si>
    <t>170.</t>
  </si>
  <si>
    <t>Veishaiplová Sára</t>
  </si>
  <si>
    <t>171.</t>
  </si>
  <si>
    <t>Straka Jiří</t>
  </si>
  <si>
    <t>172.</t>
  </si>
  <si>
    <t>Pokorný Zdeněk</t>
  </si>
  <si>
    <t>173.</t>
  </si>
  <si>
    <t>Wolfová Michaela</t>
  </si>
  <si>
    <t>174.</t>
  </si>
  <si>
    <t>Pokorný David</t>
  </si>
  <si>
    <t>175.</t>
  </si>
  <si>
    <t>Podlipský Václav</t>
  </si>
  <si>
    <t>176.</t>
  </si>
  <si>
    <t>Šišláková Hana</t>
  </si>
  <si>
    <t>177.</t>
  </si>
  <si>
    <t>Opatová Nicol</t>
  </si>
  <si>
    <t>178.</t>
  </si>
  <si>
    <t>Matulková Veronika</t>
  </si>
  <si>
    <t>179.</t>
  </si>
  <si>
    <t>Fabiánová Marie</t>
  </si>
  <si>
    <t>180.</t>
  </si>
  <si>
    <t>Pešlová Julija</t>
  </si>
  <si>
    <t>181.</t>
  </si>
  <si>
    <t>Bartoněk Lukáš</t>
  </si>
  <si>
    <t>182.</t>
  </si>
  <si>
    <t>Halla Karel</t>
  </si>
  <si>
    <t>183.</t>
  </si>
  <si>
    <t>Klimpel Filip</t>
  </si>
  <si>
    <t>184.</t>
  </si>
  <si>
    <t>Berdis Matěj</t>
  </si>
  <si>
    <t>Benda Miroslav</t>
  </si>
  <si>
    <t>Domažlice</t>
  </si>
  <si>
    <t>Horva Michal</t>
  </si>
  <si>
    <t>Zeman Zbyšek</t>
  </si>
  <si>
    <t>TK Slavie VŠ Plzeň</t>
  </si>
  <si>
    <t>Šmíd Jaroslav</t>
  </si>
  <si>
    <t>Dobřany</t>
  </si>
  <si>
    <t>Mach Jan</t>
  </si>
  <si>
    <t>HO TEPLICE NAD METUJÍ</t>
  </si>
  <si>
    <t>Dvorský Petr</t>
  </si>
  <si>
    <t>BABI Hollywood</t>
  </si>
  <si>
    <t>Hlinovský Tomáš</t>
  </si>
  <si>
    <t>Rozběháme Česko</t>
  </si>
  <si>
    <t>Petřík Tomáš</t>
  </si>
  <si>
    <t>AT Dian</t>
  </si>
  <si>
    <t>Přikryl Petr</t>
  </si>
  <si>
    <t>Hollywood</t>
  </si>
  <si>
    <t>Holeček Lukáš</t>
  </si>
  <si>
    <t>Sušice</t>
  </si>
  <si>
    <t>OSMACI.CZ</t>
  </si>
  <si>
    <t>Spěváček Vojtěch</t>
  </si>
  <si>
    <t>Schneider Miloslav</t>
  </si>
  <si>
    <t>Sokol K. Lázně</t>
  </si>
  <si>
    <t>Vančurová Šárka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</si>
</sst>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hh:mm:ss"/>
    <numFmt numFmtId="172" formatCode="[h]:mm:ss;@"/>
    <numFmt numFmtId="173" formatCode="0.0"/>
  </numFmts>
  <fonts count="54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u val="single"/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47" applyFont="1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4" fillId="0" borderId="0" xfId="47" applyAlignment="1">
      <alignment horizontal="center"/>
      <protection/>
    </xf>
    <xf numFmtId="0" fontId="4" fillId="0" borderId="0" xfId="47" applyBorder="1">
      <alignment/>
      <protection/>
    </xf>
    <xf numFmtId="0" fontId="12" fillId="0" borderId="0" xfId="47" applyFont="1">
      <alignment/>
      <protection/>
    </xf>
    <xf numFmtId="0" fontId="12" fillId="0" borderId="0" xfId="47" applyFont="1" applyBorder="1">
      <alignment/>
      <protection/>
    </xf>
    <xf numFmtId="0" fontId="13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0" xfId="47" applyFont="1" applyBorder="1" applyAlignment="1">
      <alignment horizontal="left"/>
      <protection/>
    </xf>
    <xf numFmtId="0" fontId="14" fillId="0" borderId="0" xfId="47" applyFont="1" applyBorder="1">
      <alignment/>
      <protection/>
    </xf>
    <xf numFmtId="14" fontId="14" fillId="0" borderId="0" xfId="47" applyNumberFormat="1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0" fontId="14" fillId="0" borderId="0" xfId="47" applyFont="1">
      <alignment/>
      <protection/>
    </xf>
    <xf numFmtId="0" fontId="14" fillId="0" borderId="0" xfId="47" applyFont="1" applyBorder="1" applyAlignment="1">
      <alignment horizontal="right"/>
      <protection/>
    </xf>
    <xf numFmtId="0" fontId="14" fillId="0" borderId="0" xfId="47" applyFont="1" applyBorder="1" applyAlignment="1">
      <alignment/>
      <protection/>
    </xf>
    <xf numFmtId="0" fontId="13" fillId="0" borderId="0" xfId="47" applyFont="1" applyBorder="1">
      <alignment/>
      <protection/>
    </xf>
    <xf numFmtId="0" fontId="15" fillId="0" borderId="11" xfId="47" applyFont="1" applyBorder="1" applyAlignment="1">
      <alignment horizontal="center"/>
      <protection/>
    </xf>
    <xf numFmtId="0" fontId="15" fillId="0" borderId="11" xfId="47" applyFont="1" applyBorder="1">
      <alignment/>
      <protection/>
    </xf>
    <xf numFmtId="0" fontId="15" fillId="0" borderId="12" xfId="47" applyFont="1" applyBorder="1" applyAlignment="1">
      <alignment horizontal="center"/>
      <protection/>
    </xf>
    <xf numFmtId="0" fontId="15" fillId="0" borderId="13" xfId="47" applyFont="1" applyBorder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14" fillId="0" borderId="11" xfId="47" applyFont="1" applyBorder="1" applyAlignment="1">
      <alignment horizontal="right"/>
      <protection/>
    </xf>
    <xf numFmtId="0" fontId="14" fillId="0" borderId="11" xfId="47" applyFont="1" applyFill="1" applyBorder="1">
      <alignment/>
      <protection/>
    </xf>
    <xf numFmtId="0" fontId="13" fillId="0" borderId="11" xfId="47" applyFont="1" applyBorder="1" applyAlignment="1">
      <alignment horizontal="center"/>
      <protection/>
    </xf>
    <xf numFmtId="0" fontId="14" fillId="0" borderId="12" xfId="47" applyFont="1" applyFill="1" applyBorder="1">
      <alignment/>
      <protection/>
    </xf>
    <xf numFmtId="0" fontId="14" fillId="0" borderId="13" xfId="47" applyFont="1" applyBorder="1">
      <alignment/>
      <protection/>
    </xf>
    <xf numFmtId="0" fontId="12" fillId="0" borderId="13" xfId="47" applyFont="1" applyBorder="1">
      <alignment/>
      <protection/>
    </xf>
    <xf numFmtId="173" fontId="12" fillId="0" borderId="13" xfId="47" applyNumberFormat="1" applyFont="1" applyBorder="1">
      <alignment/>
      <protection/>
    </xf>
    <xf numFmtId="1" fontId="14" fillId="0" borderId="13" xfId="47" applyNumberFormat="1" applyFont="1" applyBorder="1">
      <alignment/>
      <protection/>
    </xf>
    <xf numFmtId="0" fontId="12" fillId="0" borderId="13" xfId="47" applyFont="1" applyBorder="1">
      <alignment/>
      <protection/>
    </xf>
    <xf numFmtId="173" fontId="12" fillId="0" borderId="13" xfId="47" applyNumberFormat="1" applyFont="1" applyBorder="1">
      <alignment/>
      <protection/>
    </xf>
    <xf numFmtId="0" fontId="12" fillId="0" borderId="14" xfId="47" applyFont="1" applyFill="1" applyBorder="1">
      <alignment/>
      <protection/>
    </xf>
    <xf numFmtId="173" fontId="12" fillId="0" borderId="11" xfId="47" applyNumberFormat="1" applyFont="1" applyFill="1" applyBorder="1" applyAlignment="1">
      <alignment horizontal="center"/>
      <protection/>
    </xf>
    <xf numFmtId="0" fontId="14" fillId="0" borderId="12" xfId="47" applyFont="1" applyBorder="1">
      <alignment/>
      <protection/>
    </xf>
    <xf numFmtId="173" fontId="14" fillId="0" borderId="13" xfId="47" applyNumberFormat="1" applyFont="1" applyBorder="1">
      <alignment/>
      <protection/>
    </xf>
    <xf numFmtId="173" fontId="14" fillId="0" borderId="13" xfId="47" applyNumberFormat="1" applyFont="1" applyFill="1" applyBorder="1">
      <alignment/>
      <protection/>
    </xf>
    <xf numFmtId="0" fontId="13" fillId="0" borderId="11" xfId="47" applyFont="1" applyBorder="1" applyAlignment="1">
      <alignment horizontal="center"/>
      <protection/>
    </xf>
    <xf numFmtId="0" fontId="14" fillId="0" borderId="13" xfId="47" applyFont="1" applyFill="1" applyBorder="1">
      <alignment/>
      <protection/>
    </xf>
    <xf numFmtId="0" fontId="12" fillId="0" borderId="14" xfId="47" applyFont="1" applyFill="1" applyBorder="1">
      <alignment/>
      <protection/>
    </xf>
    <xf numFmtId="173" fontId="12" fillId="0" borderId="13" xfId="47" applyNumberFormat="1" applyFont="1" applyFill="1" applyBorder="1">
      <alignment/>
      <protection/>
    </xf>
    <xf numFmtId="0" fontId="14" fillId="0" borderId="14" xfId="47" applyFont="1" applyFill="1" applyBorder="1">
      <alignment/>
      <protection/>
    </xf>
    <xf numFmtId="0" fontId="16" fillId="0" borderId="11" xfId="47" applyFont="1" applyFill="1" applyBorder="1">
      <alignment/>
      <protection/>
    </xf>
    <xf numFmtId="0" fontId="17" fillId="0" borderId="11" xfId="47" applyFont="1" applyBorder="1" applyAlignment="1">
      <alignment horizontal="center"/>
      <protection/>
    </xf>
    <xf numFmtId="0" fontId="14" fillId="0" borderId="11" xfId="47" applyFont="1" applyFill="1" applyBorder="1" applyAlignment="1">
      <alignment horizontal="left"/>
      <protection/>
    </xf>
    <xf numFmtId="0" fontId="12" fillId="0" borderId="12" xfId="47" applyFont="1" applyBorder="1">
      <alignment/>
      <protection/>
    </xf>
    <xf numFmtId="0" fontId="12" fillId="0" borderId="12" xfId="47" applyFont="1" applyBorder="1">
      <alignment/>
      <protection/>
    </xf>
    <xf numFmtId="0" fontId="14" fillId="0" borderId="11" xfId="47" applyFont="1" applyFill="1" applyBorder="1">
      <alignment/>
      <protection/>
    </xf>
    <xf numFmtId="173" fontId="12" fillId="0" borderId="12" xfId="47" applyNumberFormat="1" applyFont="1" applyBorder="1">
      <alignment/>
      <protection/>
    </xf>
    <xf numFmtId="0" fontId="14" fillId="0" borderId="14" xfId="47" applyFont="1" applyBorder="1">
      <alignment/>
      <protection/>
    </xf>
    <xf numFmtId="1" fontId="12" fillId="0" borderId="13" xfId="47" applyNumberFormat="1" applyFont="1" applyBorder="1">
      <alignment/>
      <protection/>
    </xf>
    <xf numFmtId="0" fontId="14" fillId="0" borderId="11" xfId="47" applyFont="1" applyFill="1" applyBorder="1" applyAlignment="1">
      <alignment horizontal="left"/>
      <protection/>
    </xf>
    <xf numFmtId="0" fontId="18" fillId="0" borderId="11" xfId="47" applyFont="1" applyFill="1" applyBorder="1">
      <alignment/>
      <protection/>
    </xf>
    <xf numFmtId="0" fontId="19" fillId="0" borderId="11" xfId="47" applyFont="1" applyBorder="1" applyAlignment="1">
      <alignment horizontal="center"/>
      <protection/>
    </xf>
    <xf numFmtId="173" fontId="12" fillId="0" borderId="11" xfId="47" applyNumberFormat="1" applyFont="1" applyBorder="1" applyAlignment="1">
      <alignment horizontal="center"/>
      <protection/>
    </xf>
    <xf numFmtId="173" fontId="12" fillId="0" borderId="11" xfId="47" applyNumberFormat="1" applyFont="1" applyBorder="1" applyAlignment="1">
      <alignment horizontal="center"/>
      <protection/>
    </xf>
    <xf numFmtId="0" fontId="14" fillId="0" borderId="11" xfId="47" applyFont="1" applyFill="1" applyBorder="1" applyAlignment="1">
      <alignment/>
      <protection/>
    </xf>
    <xf numFmtId="0" fontId="12" fillId="0" borderId="14" xfId="47" applyFont="1" applyBorder="1">
      <alignment/>
      <protection/>
    </xf>
    <xf numFmtId="0" fontId="14" fillId="0" borderId="15" xfId="47" applyFont="1" applyBorder="1" applyAlignment="1">
      <alignment horizontal="right"/>
      <protection/>
    </xf>
    <xf numFmtId="0" fontId="14" fillId="0" borderId="16" xfId="47" applyFont="1" applyFill="1" applyBorder="1">
      <alignment/>
      <protection/>
    </xf>
    <xf numFmtId="0" fontId="13" fillId="0" borderId="16" xfId="47" applyFont="1" applyBorder="1" applyAlignment="1">
      <alignment horizontal="center"/>
      <protection/>
    </xf>
    <xf numFmtId="0" fontId="12" fillId="0" borderId="17" xfId="47" applyFont="1" applyBorder="1">
      <alignment/>
      <protection/>
    </xf>
    <xf numFmtId="0" fontId="14" fillId="0" borderId="18" xfId="47" applyFont="1" applyBorder="1">
      <alignment/>
      <protection/>
    </xf>
    <xf numFmtId="1" fontId="14" fillId="0" borderId="18" xfId="47" applyNumberFormat="1" applyFont="1" applyBorder="1">
      <alignment/>
      <protection/>
    </xf>
    <xf numFmtId="0" fontId="12" fillId="0" borderId="18" xfId="47" applyFont="1" applyBorder="1">
      <alignment/>
      <protection/>
    </xf>
    <xf numFmtId="173" fontId="12" fillId="0" borderId="18" xfId="47" applyNumberFormat="1" applyFont="1" applyBorder="1">
      <alignment/>
      <protection/>
    </xf>
    <xf numFmtId="173" fontId="12" fillId="0" borderId="18" xfId="47" applyNumberFormat="1" applyFont="1" applyBorder="1">
      <alignment/>
      <protection/>
    </xf>
    <xf numFmtId="0" fontId="12" fillId="0" borderId="19" xfId="47" applyFont="1" applyFill="1" applyBorder="1">
      <alignment/>
      <protection/>
    </xf>
    <xf numFmtId="173" fontId="12" fillId="0" borderId="16" xfId="47" applyNumberFormat="1" applyFont="1" applyFill="1" applyBorder="1" applyAlignment="1">
      <alignment horizontal="center"/>
      <protection/>
    </xf>
    <xf numFmtId="1" fontId="12" fillId="0" borderId="13" xfId="47" applyNumberFormat="1" applyFont="1" applyBorder="1">
      <alignment/>
      <protection/>
    </xf>
    <xf numFmtId="173" fontId="12" fillId="0" borderId="14" xfId="47" applyNumberFormat="1" applyFont="1" applyFill="1" applyBorder="1">
      <alignment/>
      <protection/>
    </xf>
    <xf numFmtId="173" fontId="12" fillId="0" borderId="12" xfId="47" applyNumberFormat="1" applyFont="1" applyBorder="1">
      <alignment/>
      <protection/>
    </xf>
    <xf numFmtId="0" fontId="13" fillId="0" borderId="20" xfId="47" applyFont="1" applyBorder="1" applyAlignment="1">
      <alignment horizontal="right"/>
      <protection/>
    </xf>
    <xf numFmtId="0" fontId="16" fillId="0" borderId="20" xfId="47" applyFont="1" applyFill="1" applyBorder="1">
      <alignment/>
      <protection/>
    </xf>
    <xf numFmtId="0" fontId="17" fillId="0" borderId="20" xfId="47" applyFont="1" applyBorder="1" applyAlignment="1">
      <alignment horizontal="center"/>
      <protection/>
    </xf>
    <xf numFmtId="0" fontId="14" fillId="0" borderId="20" xfId="47" applyFont="1" applyBorder="1">
      <alignment/>
      <protection/>
    </xf>
    <xf numFmtId="0" fontId="12" fillId="0" borderId="20" xfId="47" applyFont="1" applyBorder="1">
      <alignment/>
      <protection/>
    </xf>
    <xf numFmtId="173" fontId="12" fillId="0" borderId="20" xfId="47" applyNumberFormat="1" applyFont="1" applyBorder="1">
      <alignment/>
      <protection/>
    </xf>
    <xf numFmtId="173" fontId="12" fillId="0" borderId="20" xfId="47" applyNumberFormat="1" applyFont="1" applyBorder="1">
      <alignment/>
      <protection/>
    </xf>
    <xf numFmtId="1" fontId="12" fillId="0" borderId="20" xfId="47" applyNumberFormat="1" applyFont="1" applyBorder="1">
      <alignment/>
      <protection/>
    </xf>
    <xf numFmtId="173" fontId="12" fillId="0" borderId="20" xfId="47" applyNumberFormat="1" applyFont="1" applyFill="1" applyBorder="1" applyAlignment="1">
      <alignment horizontal="center"/>
      <protection/>
    </xf>
    <xf numFmtId="0" fontId="13" fillId="0" borderId="21" xfId="47" applyFont="1" applyBorder="1" applyAlignment="1">
      <alignment horizontal="right"/>
      <protection/>
    </xf>
    <xf numFmtId="0" fontId="14" fillId="0" borderId="21" xfId="47" applyFont="1" applyFill="1" applyBorder="1">
      <alignment/>
      <protection/>
    </xf>
    <xf numFmtId="0" fontId="13" fillId="0" borderId="21" xfId="47" applyFont="1" applyBorder="1" applyAlignment="1">
      <alignment horizontal="center"/>
      <protection/>
    </xf>
    <xf numFmtId="0" fontId="14" fillId="0" borderId="21" xfId="47" applyFont="1" applyBorder="1">
      <alignment/>
      <protection/>
    </xf>
    <xf numFmtId="0" fontId="12" fillId="0" borderId="21" xfId="47" applyFont="1" applyBorder="1">
      <alignment/>
      <protection/>
    </xf>
    <xf numFmtId="1" fontId="12" fillId="0" borderId="21" xfId="47" applyNumberFormat="1" applyFont="1" applyBorder="1">
      <alignment/>
      <protection/>
    </xf>
    <xf numFmtId="0" fontId="12" fillId="0" borderId="21" xfId="47" applyFont="1" applyFill="1" applyBorder="1">
      <alignment/>
      <protection/>
    </xf>
    <xf numFmtId="173" fontId="12" fillId="0" borderId="21" xfId="47" applyNumberFormat="1" applyFont="1" applyFill="1" applyBorder="1" applyAlignment="1">
      <alignment horizontal="center"/>
      <protection/>
    </xf>
    <xf numFmtId="173" fontId="12" fillId="0" borderId="21" xfId="47" applyNumberFormat="1" applyFont="1" applyBorder="1">
      <alignment/>
      <protection/>
    </xf>
    <xf numFmtId="1" fontId="14" fillId="0" borderId="21" xfId="47" applyNumberFormat="1" applyFont="1" applyBorder="1">
      <alignment/>
      <protection/>
    </xf>
    <xf numFmtId="1" fontId="12" fillId="0" borderId="21" xfId="47" applyNumberFormat="1" applyFont="1" applyBorder="1">
      <alignment/>
      <protection/>
    </xf>
    <xf numFmtId="0" fontId="14" fillId="0" borderId="21" xfId="47" applyFont="1" applyFill="1" applyBorder="1">
      <alignment/>
      <protection/>
    </xf>
    <xf numFmtId="0" fontId="13" fillId="0" borderId="21" xfId="47" applyFont="1" applyBorder="1" applyAlignment="1">
      <alignment horizontal="center"/>
      <protection/>
    </xf>
    <xf numFmtId="0" fontId="14" fillId="0" borderId="21" xfId="47" applyFont="1" applyFill="1" applyBorder="1" applyAlignment="1">
      <alignment horizontal="left"/>
      <protection/>
    </xf>
    <xf numFmtId="0" fontId="12" fillId="0" borderId="21" xfId="47" applyFont="1" applyBorder="1">
      <alignment/>
      <protection/>
    </xf>
    <xf numFmtId="173" fontId="12" fillId="0" borderId="21" xfId="47" applyNumberFormat="1" applyFont="1" applyBorder="1" applyAlignment="1">
      <alignment horizontal="center"/>
      <protection/>
    </xf>
    <xf numFmtId="173" fontId="12" fillId="0" borderId="21" xfId="47" applyNumberFormat="1" applyFont="1" applyBorder="1">
      <alignment/>
      <protection/>
    </xf>
    <xf numFmtId="0" fontId="16" fillId="0" borderId="21" xfId="48" applyFont="1" applyFill="1" applyBorder="1">
      <alignment/>
      <protection/>
    </xf>
    <xf numFmtId="0" fontId="17" fillId="0" borderId="21" xfId="48" applyFont="1" applyBorder="1" applyAlignment="1">
      <alignment horizontal="center"/>
      <protection/>
    </xf>
    <xf numFmtId="1" fontId="14" fillId="0" borderId="20" xfId="47" applyNumberFormat="1" applyFont="1" applyBorder="1">
      <alignment/>
      <protection/>
    </xf>
    <xf numFmtId="0" fontId="16" fillId="0" borderId="21" xfId="47" applyFont="1" applyFill="1" applyBorder="1">
      <alignment/>
      <protection/>
    </xf>
    <xf numFmtId="0" fontId="17" fillId="0" borderId="21" xfId="47" applyFont="1" applyBorder="1" applyAlignment="1">
      <alignment horizontal="center"/>
      <protection/>
    </xf>
    <xf numFmtId="0" fontId="17" fillId="0" borderId="21" xfId="47" applyFont="1" applyFill="1" applyBorder="1" applyAlignment="1">
      <alignment horizontal="center"/>
      <protection/>
    </xf>
    <xf numFmtId="0" fontId="14" fillId="0" borderId="21" xfId="47" applyFont="1" applyFill="1" applyBorder="1" applyAlignment="1">
      <alignment horizontal="left"/>
      <protection/>
    </xf>
    <xf numFmtId="0" fontId="14" fillId="0" borderId="21" xfId="47" applyFont="1" applyFill="1" applyBorder="1" applyAlignment="1">
      <alignment/>
      <protection/>
    </xf>
    <xf numFmtId="0" fontId="16" fillId="0" borderId="21" xfId="47" applyFont="1" applyBorder="1">
      <alignment/>
      <protection/>
    </xf>
    <xf numFmtId="0" fontId="13" fillId="0" borderId="21" xfId="47" applyFont="1" applyBorder="1">
      <alignment/>
      <protection/>
    </xf>
    <xf numFmtId="0" fontId="14" fillId="0" borderId="21" xfId="47" applyFont="1" applyBorder="1" applyAlignment="1">
      <alignment horizontal="left"/>
      <protection/>
    </xf>
    <xf numFmtId="0" fontId="18" fillId="0" borderId="21" xfId="47" applyFont="1" applyBorder="1">
      <alignment/>
      <protection/>
    </xf>
    <xf numFmtId="0" fontId="19" fillId="0" borderId="21" xfId="47" applyFont="1" applyBorder="1" applyAlignment="1">
      <alignment horizontal="center"/>
      <protection/>
    </xf>
    <xf numFmtId="0" fontId="14" fillId="0" borderId="21" xfId="47" applyFont="1" applyBorder="1" applyAlignment="1">
      <alignment horizontal="left"/>
      <protection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015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145" zoomScaleNormal="145" zoomScalePageLayoutView="0" workbookViewId="0" topLeftCell="A1">
      <selection activeCell="B102" sqref="B102"/>
    </sheetView>
  </sheetViews>
  <sheetFormatPr defaultColWidth="9.00390625" defaultRowHeight="12.75"/>
  <cols>
    <col min="1" max="1" width="18.875" style="2" bestFit="1" customWidth="1"/>
    <col min="2" max="2" width="7.50390625" style="2" bestFit="1" customWidth="1"/>
    <col min="3" max="3" width="9.875" style="2" hidden="1" customWidth="1"/>
    <col min="4" max="4" width="29.00390625" style="2" customWidth="1"/>
    <col min="5" max="5" width="38.50390625" style="1" customWidth="1"/>
    <col min="6" max="6" width="14.625" style="1" customWidth="1"/>
    <col min="7" max="7" width="9.625" style="20" customWidth="1"/>
    <col min="8" max="8" width="17.50390625" style="2" hidden="1" customWidth="1"/>
    <col min="9" max="12" width="0" style="2" hidden="1" customWidth="1"/>
    <col min="13" max="13" width="18.875" style="2" bestFit="1" customWidth="1"/>
    <col min="14" max="14" width="9.375" style="7" customWidth="1"/>
    <col min="15" max="16384" width="9.375" style="2" customWidth="1"/>
  </cols>
  <sheetData>
    <row r="1" spans="1:14" s="4" customFormat="1" ht="18.75" customHeight="1">
      <c r="A1" s="141" t="s">
        <v>23</v>
      </c>
      <c r="B1" s="142"/>
      <c r="C1" s="142"/>
      <c r="D1" s="142"/>
      <c r="E1" s="142"/>
      <c r="F1" s="142"/>
      <c r="G1" s="143"/>
      <c r="N1" s="5"/>
    </row>
    <row r="2" spans="1:14" s="4" customFormat="1" ht="18.75" customHeight="1">
      <c r="A2" s="147" t="s">
        <v>12</v>
      </c>
      <c r="B2" s="148"/>
      <c r="C2" s="148"/>
      <c r="D2" s="148"/>
      <c r="E2" s="148"/>
      <c r="F2" s="148"/>
      <c r="G2" s="149"/>
      <c r="N2" s="5"/>
    </row>
    <row r="3" spans="1:14" s="4" customFormat="1" ht="19.5" thickBot="1">
      <c r="A3" s="144" t="s">
        <v>13</v>
      </c>
      <c r="B3" s="145"/>
      <c r="C3" s="145"/>
      <c r="D3" s="145"/>
      <c r="E3" s="145"/>
      <c r="F3" s="145"/>
      <c r="G3" s="146"/>
      <c r="N3" s="5"/>
    </row>
    <row r="4" spans="1:7" ht="15" customHeight="1">
      <c r="A4" s="6"/>
      <c r="B4" s="6"/>
      <c r="C4" s="6"/>
      <c r="D4" s="6"/>
      <c r="E4" s="6"/>
      <c r="F4" s="6"/>
      <c r="G4" s="17"/>
    </row>
    <row r="5" spans="1:8" ht="15" customHeight="1">
      <c r="A5" s="140" t="s">
        <v>14</v>
      </c>
      <c r="B5" s="140"/>
      <c r="C5" s="140"/>
      <c r="D5" s="140"/>
      <c r="E5" s="140"/>
      <c r="F5" s="140"/>
      <c r="G5" s="140"/>
      <c r="H5" s="2" t="str">
        <f>"&lt;TR&gt;&lt;TD COLSPAN=7&gt;&lt;FONT SIZE=+1&gt;&lt;B&gt;&lt;BR&gt;"&amp;A5&amp;"&lt;/B&gt;&lt;/FONT&gt;"</f>
        <v>&lt;TR&gt;&lt;TD COLSPAN=7&gt;&lt;FONT SIZE=+1&gt;&lt;B&gt;&lt;BR&gt;Muži 18 - 39 let (2001 - 1980)&lt;/B&gt;&lt;/FONT&gt;</v>
      </c>
    </row>
    <row r="6" spans="1:8" ht="15" customHeight="1">
      <c r="A6" s="8" t="s">
        <v>6</v>
      </c>
      <c r="B6" s="8" t="s">
        <v>7</v>
      </c>
      <c r="C6" s="8" t="s">
        <v>8</v>
      </c>
      <c r="D6" s="8" t="s">
        <v>3</v>
      </c>
      <c r="E6" s="8" t="s">
        <v>4</v>
      </c>
      <c r="F6" s="8" t="s">
        <v>2</v>
      </c>
      <c r="G6" s="18" t="s">
        <v>5</v>
      </c>
      <c r="H6" s="2" t="s">
        <v>9</v>
      </c>
    </row>
    <row r="7" spans="1:12" ht="15" customHeight="1">
      <c r="A7" s="1" t="s">
        <v>306</v>
      </c>
      <c r="B7" s="9" t="s">
        <v>88</v>
      </c>
      <c r="C7" s="10"/>
      <c r="D7" s="139" t="s">
        <v>35</v>
      </c>
      <c r="E7" s="1" t="s">
        <v>36</v>
      </c>
      <c r="F7" s="22">
        <v>1988</v>
      </c>
      <c r="G7" s="21">
        <v>0.021053240740740744</v>
      </c>
      <c r="H7" s="2" t="e">
        <f>"&lt;TR&gt;&lt;TD&gt;"&amp;A7&amp;"&lt;TD&gt;"&amp;TEXT(B7,"#.")&amp;"&lt;TD&gt;"&amp;#REF!&amp;"&lt;TD&gt;"&amp;#REF!&amp;"&lt;TD&gt;"&amp;#REF!&amp;"&lt;TD&gt;"&amp;TEXT(G7,"mm:ss")&amp;"&lt;TD&gt;"&amp;TEXT(#REF!,"#.")</f>
        <v>#REF!</v>
      </c>
      <c r="I7" s="2">
        <v>18</v>
      </c>
      <c r="J7" s="2">
        <v>6</v>
      </c>
      <c r="L7" s="2">
        <f>COUNTIF(G:G,G7)</f>
        <v>1</v>
      </c>
    </row>
    <row r="8" spans="1:7" ht="15" customHeight="1">
      <c r="A8" s="1" t="s">
        <v>329</v>
      </c>
      <c r="B8" s="9" t="s">
        <v>92</v>
      </c>
      <c r="C8" s="10"/>
      <c r="D8" s="2" t="s">
        <v>513</v>
      </c>
      <c r="E8" s="1" t="s">
        <v>514</v>
      </c>
      <c r="F8" s="22">
        <v>1991</v>
      </c>
      <c r="G8" s="21">
        <v>0.021400462962962965</v>
      </c>
    </row>
    <row r="9" spans="1:7" ht="15" customHeight="1">
      <c r="A9" s="1" t="s">
        <v>126</v>
      </c>
      <c r="B9" s="9" t="s">
        <v>97</v>
      </c>
      <c r="C9" s="10"/>
      <c r="D9" s="2" t="s">
        <v>72</v>
      </c>
      <c r="E9" s="1" t="s">
        <v>28</v>
      </c>
      <c r="F9" s="22">
        <v>1990</v>
      </c>
      <c r="G9" s="21">
        <v>0.022164351851851852</v>
      </c>
    </row>
    <row r="10" spans="1:7" ht="15" customHeight="1">
      <c r="A10" s="1" t="s">
        <v>318</v>
      </c>
      <c r="B10" s="9" t="s">
        <v>101</v>
      </c>
      <c r="C10" s="10"/>
      <c r="D10" s="2" t="s">
        <v>509</v>
      </c>
      <c r="E10" s="1" t="s">
        <v>510</v>
      </c>
      <c r="F10" s="22">
        <v>1984</v>
      </c>
      <c r="G10" s="21">
        <v>0.0221875</v>
      </c>
    </row>
    <row r="11" spans="1:7" ht="15" customHeight="1">
      <c r="A11" s="1" t="s">
        <v>165</v>
      </c>
      <c r="B11" s="9" t="s">
        <v>105</v>
      </c>
      <c r="C11" s="10"/>
      <c r="D11" s="2" t="s">
        <v>192</v>
      </c>
      <c r="E11" s="1" t="s">
        <v>26</v>
      </c>
      <c r="F11" s="22">
        <v>1990</v>
      </c>
      <c r="G11" s="21">
        <v>0.022523148148148143</v>
      </c>
    </row>
    <row r="12" spans="1:7" ht="15" customHeight="1">
      <c r="A12" s="1" t="s">
        <v>221</v>
      </c>
      <c r="B12" s="9" t="s">
        <v>109</v>
      </c>
      <c r="C12" s="10"/>
      <c r="D12" s="2" t="s">
        <v>222</v>
      </c>
      <c r="E12" s="1" t="s">
        <v>26</v>
      </c>
      <c r="F12" s="22">
        <v>1986</v>
      </c>
      <c r="G12" s="21">
        <v>0.02289351851851852</v>
      </c>
    </row>
    <row r="13" spans="1:7" ht="15" customHeight="1">
      <c r="A13" s="1" t="s">
        <v>131</v>
      </c>
      <c r="B13" s="9" t="s">
        <v>113</v>
      </c>
      <c r="C13" s="10"/>
      <c r="D13" s="2" t="s">
        <v>42</v>
      </c>
      <c r="E13" s="1" t="s">
        <v>43</v>
      </c>
      <c r="F13" s="22">
        <v>2001</v>
      </c>
      <c r="G13" s="21">
        <v>0.023842592592592596</v>
      </c>
    </row>
    <row r="14" spans="1:12" ht="15" customHeight="1">
      <c r="A14" s="1" t="s">
        <v>122</v>
      </c>
      <c r="B14" s="9" t="s">
        <v>118</v>
      </c>
      <c r="C14" s="10"/>
      <c r="D14" s="139" t="s">
        <v>52</v>
      </c>
      <c r="E14" s="1" t="s">
        <v>25</v>
      </c>
      <c r="F14" s="22">
        <v>1980</v>
      </c>
      <c r="G14" s="21">
        <v>0.02395833333333333</v>
      </c>
      <c r="H14" s="2" t="e">
        <f>"&lt;TR&gt;&lt;TD&gt;"&amp;A14&amp;"&lt;TD&gt;"&amp;TEXT(B14,"#.")&amp;"&lt;TD&gt;"&amp;#REF!&amp;"&lt;TD&gt;"&amp;#REF!&amp;"&lt;TD&gt;"&amp;#REF!&amp;"&lt;TD&gt;"&amp;TEXT(G14,"mm:ss")&amp;"&lt;TD&gt;"&amp;TEXT(#REF!,"#.")</f>
        <v>#REF!</v>
      </c>
      <c r="I14" s="2">
        <v>20</v>
      </c>
      <c r="J14" s="2">
        <v>20</v>
      </c>
      <c r="L14" s="2">
        <f>COUNTIF(G:G,G14)</f>
        <v>1</v>
      </c>
    </row>
    <row r="15" spans="1:12" ht="15" customHeight="1">
      <c r="A15" s="1" t="s">
        <v>234</v>
      </c>
      <c r="B15" s="9" t="s">
        <v>122</v>
      </c>
      <c r="C15" s="10"/>
      <c r="D15" s="2" t="s">
        <v>235</v>
      </c>
      <c r="E15" s="1" t="s">
        <v>25</v>
      </c>
      <c r="F15" s="22">
        <v>1985</v>
      </c>
      <c r="G15" s="21">
        <v>0.024583333333333332</v>
      </c>
      <c r="H15" s="2" t="e">
        <f>"&lt;TR&gt;&lt;TD&gt;"&amp;A15&amp;"&lt;TD&gt;"&amp;TEXT(B15,"#.")&amp;"&lt;TD&gt;"&amp;#REF!&amp;"&lt;TD&gt;"&amp;#REF!&amp;"&lt;TD&gt;"&amp;#REF!&amp;"&lt;TD&gt;"&amp;TEXT(G15,"mm:ss")&amp;"&lt;TD&gt;"&amp;TEXT(#REF!,"#.")</f>
        <v>#REF!</v>
      </c>
      <c r="I15" s="2">
        <v>21</v>
      </c>
      <c r="J15" s="2">
        <v>48</v>
      </c>
      <c r="L15" s="2">
        <f>COUNTIF(G:G,G15)</f>
        <v>1</v>
      </c>
    </row>
    <row r="16" spans="1:12" ht="15" customHeight="1">
      <c r="A16" s="1" t="s">
        <v>323</v>
      </c>
      <c r="B16" s="9" t="s">
        <v>126</v>
      </c>
      <c r="C16" s="10"/>
      <c r="D16" s="2" t="s">
        <v>515</v>
      </c>
      <c r="E16" s="1" t="s">
        <v>516</v>
      </c>
      <c r="F16" s="22">
        <v>1980</v>
      </c>
      <c r="G16" s="21">
        <v>0.025023148148148145</v>
      </c>
      <c r="H16" s="2" t="e">
        <f>"&lt;TR&gt;&lt;TD&gt;"&amp;A16&amp;"&lt;TD&gt;"&amp;TEXT(B16,"#.")&amp;"&lt;TD&gt;"&amp;#REF!&amp;"&lt;TD&gt;"&amp;#REF!&amp;"&lt;TD&gt;"&amp;#REF!&amp;"&lt;TD&gt;"&amp;TEXT(G16,"mm:ss")&amp;"&lt;TD&gt;"&amp;TEXT(#REF!,"#.")</f>
        <v>#REF!</v>
      </c>
      <c r="I16" s="2">
        <v>22</v>
      </c>
      <c r="J16" s="2">
        <v>23</v>
      </c>
      <c r="L16" s="2">
        <f>COUNTIF(G:G,G16)</f>
        <v>1</v>
      </c>
    </row>
    <row r="17" spans="1:7" ht="15" customHeight="1">
      <c r="A17" s="1" t="s">
        <v>171</v>
      </c>
      <c r="B17" s="9" t="s">
        <v>131</v>
      </c>
      <c r="C17" s="10"/>
      <c r="D17" s="2" t="s">
        <v>62</v>
      </c>
      <c r="E17" s="1" t="s">
        <v>26</v>
      </c>
      <c r="F17" s="22">
        <v>1991</v>
      </c>
      <c r="G17" s="21">
        <v>0.026006944444444447</v>
      </c>
    </row>
    <row r="18" spans="1:12" ht="15" customHeight="1">
      <c r="A18" s="1" t="s">
        <v>279</v>
      </c>
      <c r="B18" s="9" t="s">
        <v>135</v>
      </c>
      <c r="C18" s="10"/>
      <c r="D18" s="2" t="s">
        <v>504</v>
      </c>
      <c r="E18" s="1" t="s">
        <v>54</v>
      </c>
      <c r="F18" s="22">
        <v>1980</v>
      </c>
      <c r="G18" s="21">
        <v>0.02665509259259259</v>
      </c>
      <c r="H18" s="2" t="e">
        <f>"&lt;TR&gt;&lt;TD&gt;"&amp;A18&amp;"&lt;TD&gt;"&amp;TEXT(B18,"#.")&amp;"&lt;TD&gt;"&amp;#REF!&amp;"&lt;TD&gt;"&amp;D18&amp;"&lt;TD&gt;"&amp;F18&amp;"&lt;TD&gt;"&amp;TEXT(G18,"mm:ss")&amp;"&lt;TD&gt;"&amp;TEXT(#REF!,"#.")</f>
        <v>#REF!</v>
      </c>
      <c r="I18" s="2">
        <v>24</v>
      </c>
      <c r="J18" s="2">
        <v>22</v>
      </c>
      <c r="L18" s="2">
        <f>COUNTIF(G:G,G18)</f>
        <v>1</v>
      </c>
    </row>
    <row r="19" spans="1:7" ht="15" customHeight="1">
      <c r="A19" s="1" t="s">
        <v>331</v>
      </c>
      <c r="B19" s="9" t="s">
        <v>139</v>
      </c>
      <c r="C19" s="10"/>
      <c r="D19" s="2" t="s">
        <v>519</v>
      </c>
      <c r="E19" s="1" t="s">
        <v>520</v>
      </c>
      <c r="F19" s="22">
        <v>2001</v>
      </c>
      <c r="G19" s="21">
        <v>0.026793981481481485</v>
      </c>
    </row>
    <row r="20" spans="1:7" ht="15" customHeight="1">
      <c r="A20" s="1" t="s">
        <v>333</v>
      </c>
      <c r="B20" s="9" t="s">
        <v>143</v>
      </c>
      <c r="C20" s="10"/>
      <c r="D20" s="2" t="s">
        <v>522</v>
      </c>
      <c r="E20" s="1" t="s">
        <v>520</v>
      </c>
      <c r="F20" s="22">
        <v>2002</v>
      </c>
      <c r="G20" s="21">
        <v>0.026828703703703702</v>
      </c>
    </row>
    <row r="21" spans="1:7" ht="15" customHeight="1">
      <c r="A21" s="1" t="s">
        <v>319</v>
      </c>
      <c r="B21" s="9" t="s">
        <v>147</v>
      </c>
      <c r="C21" s="10"/>
      <c r="D21" s="2" t="s">
        <v>517</v>
      </c>
      <c r="E21" s="1" t="s">
        <v>518</v>
      </c>
      <c r="F21" s="22">
        <v>1985</v>
      </c>
      <c r="G21" s="21">
        <v>0.02697916666666667</v>
      </c>
    </row>
    <row r="22" spans="1:7" ht="15" customHeight="1">
      <c r="A22" s="1" t="s">
        <v>260</v>
      </c>
      <c r="B22" s="9" t="s">
        <v>152</v>
      </c>
      <c r="C22" s="10"/>
      <c r="D22" s="2" t="s">
        <v>56</v>
      </c>
      <c r="E22" s="1" t="s">
        <v>26</v>
      </c>
      <c r="F22" s="22">
        <v>1988</v>
      </c>
      <c r="G22" s="21">
        <v>0.0290625</v>
      </c>
    </row>
    <row r="23" spans="1:7" ht="15" customHeight="1">
      <c r="A23" s="1" t="s">
        <v>312</v>
      </c>
      <c r="B23" s="9" t="s">
        <v>156</v>
      </c>
      <c r="C23" s="10"/>
      <c r="D23" s="2" t="s">
        <v>431</v>
      </c>
      <c r="E23" s="1" t="s">
        <v>76</v>
      </c>
      <c r="F23" s="22">
        <v>1992</v>
      </c>
      <c r="G23" s="21">
        <v>0.029594907407407407</v>
      </c>
    </row>
    <row r="24" spans="1:7" ht="15" customHeight="1">
      <c r="A24" s="1" t="s">
        <v>240</v>
      </c>
      <c r="B24" s="9" t="s">
        <v>160</v>
      </c>
      <c r="C24" s="10"/>
      <c r="D24" s="2" t="s">
        <v>241</v>
      </c>
      <c r="E24" s="1" t="s">
        <v>96</v>
      </c>
      <c r="F24" s="22">
        <v>1984</v>
      </c>
      <c r="G24" s="21">
        <v>0.030497685185185183</v>
      </c>
    </row>
    <row r="25" spans="1:7" ht="15" customHeight="1">
      <c r="A25" s="1" t="s">
        <v>249</v>
      </c>
      <c r="B25" s="9" t="s">
        <v>165</v>
      </c>
      <c r="C25" s="10"/>
      <c r="D25" s="2" t="s">
        <v>61</v>
      </c>
      <c r="E25" s="1" t="s">
        <v>25</v>
      </c>
      <c r="F25" s="22">
        <v>1985</v>
      </c>
      <c r="G25" s="21">
        <v>0.031018518518518515</v>
      </c>
    </row>
    <row r="26" spans="1:7" ht="15" customHeight="1">
      <c r="A26" s="1" t="s">
        <v>298</v>
      </c>
      <c r="B26" s="9" t="s">
        <v>171</v>
      </c>
      <c r="C26" s="10"/>
      <c r="D26" s="2" t="s">
        <v>80</v>
      </c>
      <c r="E26" s="1" t="s">
        <v>81</v>
      </c>
      <c r="F26" s="22">
        <v>1980</v>
      </c>
      <c r="G26" s="21">
        <v>0.031226851851851853</v>
      </c>
    </row>
    <row r="27" spans="1:7" ht="15" customHeight="1">
      <c r="A27" s="1" t="s">
        <v>203</v>
      </c>
      <c r="B27" s="9" t="s">
        <v>175</v>
      </c>
      <c r="C27" s="10"/>
      <c r="D27" s="2" t="s">
        <v>204</v>
      </c>
      <c r="E27" s="1" t="s">
        <v>25</v>
      </c>
      <c r="F27" s="22">
        <v>1994</v>
      </c>
      <c r="G27" s="21">
        <v>0.0321875</v>
      </c>
    </row>
    <row r="28" spans="1:7" ht="15" customHeight="1">
      <c r="A28" s="1"/>
      <c r="B28" s="9"/>
      <c r="C28" s="10"/>
      <c r="F28" s="22"/>
      <c r="G28" s="21"/>
    </row>
    <row r="29" spans="1:7" ht="15" customHeight="1">
      <c r="A29" s="1"/>
      <c r="B29" s="9"/>
      <c r="C29" s="10"/>
      <c r="F29" s="22"/>
      <c r="G29" s="21"/>
    </row>
    <row r="30" spans="1:12" ht="15" customHeight="1">
      <c r="A30" s="140" t="s">
        <v>15</v>
      </c>
      <c r="B30" s="140"/>
      <c r="C30" s="140"/>
      <c r="D30" s="140"/>
      <c r="E30" s="140"/>
      <c r="F30" s="140"/>
      <c r="G30" s="140"/>
      <c r="H30" s="2" t="str">
        <f>"&lt;TR&gt;&lt;TD COLSPAN=7&gt;&lt;FONT SIZE=+1&gt;&lt;B&gt;&lt;BR&gt;"&amp;A30&amp;"&lt;/B&gt;&lt;/FONT&gt;"</f>
        <v>&lt;TR&gt;&lt;TD COLSPAN=7&gt;&lt;FONT SIZE=+1&gt;&lt;B&gt;&lt;BR&gt;Muži 40 - 49 let  (1979 - 1970)&lt;/B&gt;&lt;/FONT&gt;</v>
      </c>
      <c r="L30" s="2">
        <f>COUNTIF(G:G,G30)</f>
        <v>0</v>
      </c>
    </row>
    <row r="31" spans="1:8" ht="15" customHeight="1">
      <c r="A31" s="8" t="s">
        <v>6</v>
      </c>
      <c r="B31" s="8" t="s">
        <v>7</v>
      </c>
      <c r="C31" s="8" t="s">
        <v>8</v>
      </c>
      <c r="D31" s="8" t="s">
        <v>3</v>
      </c>
      <c r="E31" s="8" t="s">
        <v>4</v>
      </c>
      <c r="F31" s="8" t="s">
        <v>2</v>
      </c>
      <c r="G31" s="18" t="s">
        <v>5</v>
      </c>
      <c r="H31" s="2" t="s">
        <v>9</v>
      </c>
    </row>
    <row r="32" spans="1:12" ht="15" customHeight="1">
      <c r="A32" s="1" t="s">
        <v>314</v>
      </c>
      <c r="B32" s="9" t="s">
        <v>88</v>
      </c>
      <c r="C32" s="10"/>
      <c r="D32" s="3" t="s">
        <v>507</v>
      </c>
      <c r="E32" s="11" t="s">
        <v>508</v>
      </c>
      <c r="F32" s="22">
        <v>1976</v>
      </c>
      <c r="G32" s="21">
        <v>0.021574074074074075</v>
      </c>
      <c r="H32" s="2" t="e">
        <f>"&lt;TR&gt;&lt;TD&gt;"&amp;A32&amp;"&lt;TD&gt;"&amp;TEXT(B32,"#.")&amp;"&lt;TD&gt;"&amp;#REF!&amp;"&lt;TD&gt;"&amp;#REF!&amp;"&lt;TD&gt;"&amp;#REF!&amp;"&lt;TD&gt;"&amp;TEXT(G32,"mm:ss")&amp;"&lt;TD&gt;"&amp;TEXT(#REF!,"#.")</f>
        <v>#REF!</v>
      </c>
      <c r="I32" s="2">
        <v>19</v>
      </c>
      <c r="J32" s="2">
        <v>40</v>
      </c>
      <c r="L32" s="2">
        <f>COUNTIF(G:G,G32)</f>
        <v>1</v>
      </c>
    </row>
    <row r="33" spans="1:12" ht="15" customHeight="1">
      <c r="A33" s="1" t="s">
        <v>101</v>
      </c>
      <c r="B33" s="9" t="s">
        <v>92</v>
      </c>
      <c r="C33" s="10"/>
      <c r="D33" s="3" t="s">
        <v>83</v>
      </c>
      <c r="E33" s="11" t="s">
        <v>84</v>
      </c>
      <c r="F33" s="22">
        <v>1970</v>
      </c>
      <c r="G33" s="21">
        <v>0.021967592592592594</v>
      </c>
      <c r="H33" s="2" t="e">
        <f>"&lt;TR&gt;&lt;TD&gt;"&amp;A33&amp;"&lt;TD&gt;"&amp;TEXT(B33,"#.")&amp;"&lt;TD&gt;"&amp;#REF!&amp;"&lt;TD&gt;"&amp;#REF!&amp;"&lt;TD&gt;"&amp;#REF!&amp;"&lt;TD&gt;"&amp;TEXT(G33,"mm:ss")&amp;"&lt;TD&gt;"&amp;TEXT(#REF!,"#.")</f>
        <v>#REF!</v>
      </c>
      <c r="I33" s="2">
        <v>20</v>
      </c>
      <c r="J33" s="2">
        <v>41</v>
      </c>
      <c r="L33" s="2">
        <f>COUNTIF(G:G,G33)</f>
        <v>1</v>
      </c>
    </row>
    <row r="34" spans="1:7" ht="15" customHeight="1">
      <c r="A34" s="1" t="s">
        <v>288</v>
      </c>
      <c r="B34" s="9" t="s">
        <v>97</v>
      </c>
      <c r="C34" s="10"/>
      <c r="D34" s="2" t="s">
        <v>63</v>
      </c>
      <c r="E34" s="1" t="s">
        <v>50</v>
      </c>
      <c r="F34" s="22">
        <v>1978</v>
      </c>
      <c r="G34" s="21">
        <v>0.022129629629629628</v>
      </c>
    </row>
    <row r="35" spans="1:7" ht="15" customHeight="1">
      <c r="A35" s="1" t="s">
        <v>109</v>
      </c>
      <c r="B35" s="9" t="s">
        <v>101</v>
      </c>
      <c r="C35" s="10"/>
      <c r="D35" s="2" t="s">
        <v>44</v>
      </c>
      <c r="E35" s="1" t="s">
        <v>45</v>
      </c>
      <c r="F35" s="22">
        <v>1978</v>
      </c>
      <c r="G35" s="21">
        <v>0.022337962962962962</v>
      </c>
    </row>
    <row r="36" spans="1:7" ht="15" customHeight="1">
      <c r="A36" s="1" t="s">
        <v>308</v>
      </c>
      <c r="B36" s="9" t="s">
        <v>105</v>
      </c>
      <c r="C36" s="10"/>
      <c r="D36" s="139" t="s">
        <v>48</v>
      </c>
      <c r="E36" s="1" t="s">
        <v>49</v>
      </c>
      <c r="F36" s="22">
        <v>1973</v>
      </c>
      <c r="G36" s="21">
        <v>0.02246527777777778</v>
      </c>
    </row>
    <row r="37" spans="1:12" ht="15" customHeight="1">
      <c r="A37" s="1" t="s">
        <v>105</v>
      </c>
      <c r="B37" s="9" t="s">
        <v>109</v>
      </c>
      <c r="C37" s="10"/>
      <c r="D37" s="3" t="s">
        <v>24</v>
      </c>
      <c r="E37" s="11" t="s">
        <v>25</v>
      </c>
      <c r="F37" s="22">
        <v>1972</v>
      </c>
      <c r="G37" s="21">
        <v>0.023506944444444445</v>
      </c>
      <c r="H37" s="2" t="e">
        <f>"&lt;TR&gt;&lt;TD&gt;"&amp;A37&amp;"&lt;TD&gt;"&amp;TEXT(B37,"#.")&amp;"&lt;TD&gt;"&amp;#REF!&amp;"&lt;TD&gt;"&amp;D37&amp;"&lt;TD&gt;"&amp;F37&amp;"&lt;TD&gt;"&amp;TEXT(G37,"mm:ss")&amp;"&lt;TD&gt;"&amp;TEXT(#REF!,"#.")</f>
        <v>#REF!</v>
      </c>
      <c r="I37" s="2">
        <v>21</v>
      </c>
      <c r="J37" s="2">
        <v>5</v>
      </c>
      <c r="L37" s="2">
        <f>COUNTIF(G:G,G37)</f>
        <v>1</v>
      </c>
    </row>
    <row r="38" spans="1:12" ht="15" customHeight="1">
      <c r="A38" s="1" t="s">
        <v>284</v>
      </c>
      <c r="B38" s="9" t="s">
        <v>113</v>
      </c>
      <c r="C38" s="10"/>
      <c r="D38" s="3" t="s">
        <v>53</v>
      </c>
      <c r="E38" s="11" t="s">
        <v>54</v>
      </c>
      <c r="F38" s="22">
        <v>1972</v>
      </c>
      <c r="G38" s="21">
        <v>0.024722222222222225</v>
      </c>
      <c r="H38" s="2" t="s">
        <v>11</v>
      </c>
      <c r="I38" s="2">
        <v>21</v>
      </c>
      <c r="J38" s="2">
        <v>56</v>
      </c>
      <c r="L38" s="2">
        <f>COUNTIF(G:G,G38)</f>
        <v>1</v>
      </c>
    </row>
    <row r="39" spans="1:12" ht="15" customHeight="1">
      <c r="A39" s="1" t="s">
        <v>197</v>
      </c>
      <c r="B39" s="9" t="s">
        <v>118</v>
      </c>
      <c r="C39" s="10"/>
      <c r="D39" s="2" t="s">
        <v>198</v>
      </c>
      <c r="E39" s="1" t="s">
        <v>28</v>
      </c>
      <c r="F39" s="22">
        <v>1978</v>
      </c>
      <c r="G39" s="21">
        <v>0.02664351851851852</v>
      </c>
      <c r="H39" s="2" t="e">
        <f>"&lt;TR&gt;&lt;TD&gt;"&amp;A39&amp;"&lt;TD&gt;"&amp;TEXT(B39,"#.")&amp;"&lt;TD&gt;"&amp;#REF!&amp;"&lt;TD&gt;"&amp;D39&amp;"&lt;TD&gt;"&amp;F39&amp;"&lt;TD&gt;"&amp;TEXT(G39,"mm:ss")&amp;"&lt;TD&gt;"&amp;TEXT(#REF!,"#.")</f>
        <v>#REF!</v>
      </c>
      <c r="I39" s="2">
        <v>22</v>
      </c>
      <c r="J39" s="2">
        <v>24</v>
      </c>
      <c r="L39" s="2">
        <f>COUNTIF(G:G,G39)</f>
        <v>1</v>
      </c>
    </row>
    <row r="40" spans="1:12" ht="15" customHeight="1">
      <c r="A40" s="1" t="s">
        <v>281</v>
      </c>
      <c r="B40" s="9" t="s">
        <v>122</v>
      </c>
      <c r="C40" s="10"/>
      <c r="D40" s="3" t="s">
        <v>259</v>
      </c>
      <c r="E40" s="11" t="s">
        <v>26</v>
      </c>
      <c r="F40" s="22">
        <v>1978</v>
      </c>
      <c r="G40" s="21">
        <v>0.02697916666666667</v>
      </c>
      <c r="H40" s="2" t="e">
        <f>"&lt;TR&gt;&lt;TD&gt;"&amp;A40&amp;"&lt;TD&gt;"&amp;TEXT(B40,"#.")&amp;"&lt;TD&gt;"&amp;#REF!&amp;"&lt;TD&gt;"&amp;D40&amp;"&lt;TD&gt;"&amp;F40&amp;"&lt;TD&gt;"&amp;TEXT(G40,"mm:ss")&amp;"&lt;TD&gt;"&amp;TEXT(#REF!,"#.")</f>
        <v>#REF!</v>
      </c>
      <c r="I40" s="2">
        <v>23</v>
      </c>
      <c r="J40" s="2">
        <v>36</v>
      </c>
      <c r="L40" s="2">
        <f>COUNTIF(G:G,G40)</f>
        <v>2</v>
      </c>
    </row>
    <row r="41" spans="1:7" ht="17.25" customHeight="1">
      <c r="A41" s="1" t="s">
        <v>321</v>
      </c>
      <c r="B41" s="9" t="s">
        <v>126</v>
      </c>
      <c r="C41" s="10"/>
      <c r="D41" s="3" t="s">
        <v>511</v>
      </c>
      <c r="E41" s="11" t="s">
        <v>512</v>
      </c>
      <c r="F41" s="22">
        <v>1978</v>
      </c>
      <c r="G41" s="21">
        <v>0.027141203703703706</v>
      </c>
    </row>
    <row r="42" spans="1:7" ht="15" customHeight="1">
      <c r="A42" s="1" t="s">
        <v>296</v>
      </c>
      <c r="B42" s="9" t="s">
        <v>131</v>
      </c>
      <c r="C42" s="10"/>
      <c r="D42" s="3" t="s">
        <v>59</v>
      </c>
      <c r="E42" s="11" t="s">
        <v>25</v>
      </c>
      <c r="F42" s="22">
        <v>1971</v>
      </c>
      <c r="G42" s="21">
        <v>0.02773148148148148</v>
      </c>
    </row>
    <row r="43" spans="1:7" ht="15" customHeight="1">
      <c r="A43" s="1" t="s">
        <v>175</v>
      </c>
      <c r="B43" s="9" t="s">
        <v>135</v>
      </c>
      <c r="C43" s="10"/>
      <c r="D43" s="2" t="s">
        <v>41</v>
      </c>
      <c r="E43" s="1" t="s">
        <v>25</v>
      </c>
      <c r="F43" s="22">
        <v>1974</v>
      </c>
      <c r="G43" s="21">
        <v>0.028935185185185185</v>
      </c>
    </row>
    <row r="44" spans="1:7" ht="15" customHeight="1">
      <c r="A44" s="1" t="s">
        <v>292</v>
      </c>
      <c r="B44" s="9" t="s">
        <v>139</v>
      </c>
      <c r="C44" s="10"/>
      <c r="D44" s="3" t="s">
        <v>283</v>
      </c>
      <c r="E44" s="11" t="s">
        <v>26</v>
      </c>
      <c r="F44" s="22">
        <v>1973</v>
      </c>
      <c r="G44" s="21">
        <v>0.02974537037037037</v>
      </c>
    </row>
    <row r="45" spans="1:7" ht="15" customHeight="1">
      <c r="A45" s="1" t="s">
        <v>246</v>
      </c>
      <c r="B45" s="9" t="s">
        <v>143</v>
      </c>
      <c r="C45" s="10"/>
      <c r="D45" s="2" t="s">
        <v>27</v>
      </c>
      <c r="E45" s="1" t="s">
        <v>26</v>
      </c>
      <c r="F45" s="22">
        <v>1976</v>
      </c>
      <c r="G45" s="21">
        <v>0.03207175925925926</v>
      </c>
    </row>
    <row r="46" spans="1:7" ht="15" customHeight="1">
      <c r="A46" s="1" t="s">
        <v>290</v>
      </c>
      <c r="B46" s="9" t="s">
        <v>147</v>
      </c>
      <c r="C46" s="10"/>
      <c r="D46" s="3" t="s">
        <v>305</v>
      </c>
      <c r="E46" s="11"/>
      <c r="F46" s="22">
        <v>1972</v>
      </c>
      <c r="G46" s="21">
        <v>0.03246527777777778</v>
      </c>
    </row>
    <row r="47" spans="1:12" ht="15" customHeight="1">
      <c r="A47" s="140" t="s">
        <v>16</v>
      </c>
      <c r="B47" s="140"/>
      <c r="C47" s="140"/>
      <c r="D47" s="140"/>
      <c r="E47" s="140"/>
      <c r="F47" s="140"/>
      <c r="G47" s="140"/>
      <c r="H47" s="2" t="str">
        <f>"&lt;TR&gt;&lt;TD COLSPAN=7&gt;&lt;FONT SIZE=+1&gt;&lt;B&gt;&lt;BR&gt;"&amp;A47&amp;"&lt;/B&gt;&lt;/FONT&gt;"</f>
        <v>&lt;TR&gt;&lt;TD COLSPAN=7&gt;&lt;FONT SIZE=+1&gt;&lt;B&gt;&lt;BR&gt;Muži 50 - 59 let  (1969 - 1960)&lt;/B&gt;&lt;/FONT&gt;</v>
      </c>
      <c r="L47" s="2">
        <f>COUNTIF(G:G,G47)</f>
        <v>0</v>
      </c>
    </row>
    <row r="48" spans="1:8" ht="15" customHeight="1">
      <c r="A48" s="8" t="s">
        <v>6</v>
      </c>
      <c r="B48" s="8" t="s">
        <v>7</v>
      </c>
      <c r="C48" s="8" t="s">
        <v>8</v>
      </c>
      <c r="D48" s="8" t="s">
        <v>3</v>
      </c>
      <c r="E48" s="8" t="s">
        <v>4</v>
      </c>
      <c r="F48" s="8" t="s">
        <v>2</v>
      </c>
      <c r="G48" s="18" t="s">
        <v>5</v>
      </c>
      <c r="H48" s="2" t="s">
        <v>9</v>
      </c>
    </row>
    <row r="49" spans="1:12" ht="15" customHeight="1">
      <c r="A49" s="1" t="s">
        <v>92</v>
      </c>
      <c r="B49" s="9" t="s">
        <v>88</v>
      </c>
      <c r="C49" s="10"/>
      <c r="D49" s="3" t="s">
        <v>68</v>
      </c>
      <c r="E49" s="11" t="s">
        <v>26</v>
      </c>
      <c r="F49" s="22">
        <v>1964</v>
      </c>
      <c r="G49" s="21">
        <v>0.02200231481481482</v>
      </c>
      <c r="H49" s="2" t="e">
        <f>"&lt;TR&gt;&lt;TD&gt;"&amp;A49&amp;"&lt;TD&gt;"&amp;TEXT(B49,"#.")&amp;"&lt;TD&gt;"&amp;#REF!&amp;"&lt;TD&gt;"&amp;#REF!&amp;"&lt;TD&gt;"&amp;#REF!&amp;"&lt;TD&gt;"&amp;TEXT(G49,"mm:ss")&amp;"&lt;TD&gt;"&amp;TEXT(#REF!,"#.")</f>
        <v>#REF!</v>
      </c>
      <c r="I49" s="2">
        <v>23</v>
      </c>
      <c r="J49" s="2">
        <v>14</v>
      </c>
      <c r="L49" s="2">
        <f>COUNTIF(G:G,G49)</f>
        <v>1</v>
      </c>
    </row>
    <row r="50" spans="1:7" ht="15" customHeight="1">
      <c r="A50" s="1" t="s">
        <v>273</v>
      </c>
      <c r="B50" s="9" t="s">
        <v>92</v>
      </c>
      <c r="C50" s="10"/>
      <c r="D50" s="3" t="s">
        <v>46</v>
      </c>
      <c r="E50" s="11" t="s">
        <v>47</v>
      </c>
      <c r="F50" s="22">
        <v>1962</v>
      </c>
      <c r="G50" s="21">
        <v>0.022303240740740738</v>
      </c>
    </row>
    <row r="51" spans="1:7" ht="15" customHeight="1">
      <c r="A51" s="1" t="s">
        <v>310</v>
      </c>
      <c r="B51" s="9" t="s">
        <v>97</v>
      </c>
      <c r="C51" s="10"/>
      <c r="D51" s="3" t="s">
        <v>505</v>
      </c>
      <c r="E51" s="11" t="s">
        <v>506</v>
      </c>
      <c r="F51" s="22">
        <v>1969</v>
      </c>
      <c r="G51" s="21">
        <v>0.024189814814814817</v>
      </c>
    </row>
    <row r="52" spans="1:7" ht="15" customHeight="1">
      <c r="A52" s="1" t="s">
        <v>275</v>
      </c>
      <c r="B52" s="9" t="s">
        <v>101</v>
      </c>
      <c r="C52" s="10"/>
      <c r="D52" s="3" t="s">
        <v>502</v>
      </c>
      <c r="E52" s="11" t="s">
        <v>503</v>
      </c>
      <c r="F52" s="22">
        <v>1962</v>
      </c>
      <c r="G52" s="21">
        <v>0.024537037037037038</v>
      </c>
    </row>
    <row r="53" spans="1:7" ht="15" customHeight="1">
      <c r="A53" s="1" t="s">
        <v>97</v>
      </c>
      <c r="B53" s="9" t="s">
        <v>105</v>
      </c>
      <c r="C53" s="10"/>
      <c r="D53" s="3" t="s">
        <v>33</v>
      </c>
      <c r="E53" s="11" t="s">
        <v>25</v>
      </c>
      <c r="F53" s="22">
        <v>1962</v>
      </c>
      <c r="G53" s="21">
        <v>0.0250462962962963</v>
      </c>
    </row>
    <row r="54" spans="1:7" ht="15" customHeight="1">
      <c r="A54" s="1" t="s">
        <v>118</v>
      </c>
      <c r="B54" s="9" t="s">
        <v>109</v>
      </c>
      <c r="C54" s="10"/>
      <c r="D54" s="3" t="s">
        <v>60</v>
      </c>
      <c r="E54" s="11" t="s">
        <v>25</v>
      </c>
      <c r="F54" s="22">
        <v>1961</v>
      </c>
      <c r="G54" s="21">
        <v>0.026875</v>
      </c>
    </row>
    <row r="55" spans="1:7" ht="15" customHeight="1">
      <c r="A55" s="1" t="s">
        <v>143</v>
      </c>
      <c r="B55" s="9" t="s">
        <v>113</v>
      </c>
      <c r="C55" s="10"/>
      <c r="D55" s="138" t="s">
        <v>39</v>
      </c>
      <c r="E55" s="11" t="s">
        <v>40</v>
      </c>
      <c r="F55" s="22">
        <v>1964</v>
      </c>
      <c r="G55" s="21">
        <v>0.027303240740740743</v>
      </c>
    </row>
    <row r="56" spans="1:7" ht="15" customHeight="1">
      <c r="A56" s="1" t="s">
        <v>156</v>
      </c>
      <c r="B56" s="9" t="s">
        <v>118</v>
      </c>
      <c r="C56" s="10"/>
      <c r="D56" s="3" t="s">
        <v>64</v>
      </c>
      <c r="E56" s="11" t="s">
        <v>51</v>
      </c>
      <c r="F56" s="22">
        <v>1967</v>
      </c>
      <c r="G56" s="21">
        <v>0.027604166666666666</v>
      </c>
    </row>
    <row r="57" spans="1:7" ht="15" customHeight="1">
      <c r="A57" s="1" t="s">
        <v>179</v>
      </c>
      <c r="B57" s="9" t="s">
        <v>122</v>
      </c>
      <c r="C57" s="10"/>
      <c r="D57" s="3" t="s">
        <v>57</v>
      </c>
      <c r="E57" s="11" t="s">
        <v>25</v>
      </c>
      <c r="F57" s="22">
        <v>1962</v>
      </c>
      <c r="G57" s="21">
        <v>0.029328703703703704</v>
      </c>
    </row>
    <row r="58" spans="1:7" ht="15" customHeight="1">
      <c r="A58" s="1" t="s">
        <v>229</v>
      </c>
      <c r="B58" s="9" t="s">
        <v>126</v>
      </c>
      <c r="C58" s="10"/>
      <c r="D58" s="3" t="s">
        <v>55</v>
      </c>
      <c r="E58" s="11" t="s">
        <v>25</v>
      </c>
      <c r="F58" s="22">
        <v>1969</v>
      </c>
      <c r="G58" s="21">
        <v>0.03027777777777778</v>
      </c>
    </row>
    <row r="59" spans="1:7" ht="15" customHeight="1">
      <c r="A59" s="1" t="s">
        <v>335</v>
      </c>
      <c r="B59" s="9" t="s">
        <v>131</v>
      </c>
      <c r="C59" s="10"/>
      <c r="D59" s="3" t="s">
        <v>523</v>
      </c>
      <c r="E59" s="11" t="s">
        <v>25</v>
      </c>
      <c r="F59" s="22">
        <v>1968</v>
      </c>
      <c r="G59" s="21">
        <v>0.030381944444444444</v>
      </c>
    </row>
    <row r="60" spans="1:7" ht="15" customHeight="1">
      <c r="A60" s="1" t="s">
        <v>217</v>
      </c>
      <c r="B60" s="9" t="s">
        <v>135</v>
      </c>
      <c r="C60" s="10"/>
      <c r="D60" s="3" t="s">
        <v>218</v>
      </c>
      <c r="E60" s="11" t="s">
        <v>25</v>
      </c>
      <c r="F60" s="22">
        <v>1965</v>
      </c>
      <c r="G60" s="21">
        <v>0.03127314814814815</v>
      </c>
    </row>
    <row r="61" spans="1:7" ht="15" customHeight="1">
      <c r="A61" s="1" t="s">
        <v>316</v>
      </c>
      <c r="B61" s="9" t="s">
        <v>139</v>
      </c>
      <c r="C61" s="10"/>
      <c r="D61" s="3" t="s">
        <v>37</v>
      </c>
      <c r="E61" s="11" t="s">
        <v>38</v>
      </c>
      <c r="F61" s="22">
        <v>1964</v>
      </c>
      <c r="G61" s="21">
        <v>0.03179398148148148</v>
      </c>
    </row>
    <row r="62" spans="1:7" ht="15" customHeight="1">
      <c r="A62" s="1" t="s">
        <v>302</v>
      </c>
      <c r="B62" s="9" t="s">
        <v>143</v>
      </c>
      <c r="C62" s="10"/>
      <c r="D62" s="3" t="s">
        <v>317</v>
      </c>
      <c r="E62" s="11" t="s">
        <v>25</v>
      </c>
      <c r="F62" s="22">
        <v>1965</v>
      </c>
      <c r="G62" s="21">
        <v>0.03483796296296296</v>
      </c>
    </row>
    <row r="63" spans="1:12" ht="15" customHeight="1">
      <c r="A63" s="1"/>
      <c r="B63" s="9"/>
      <c r="C63" s="10"/>
      <c r="D63" s="3"/>
      <c r="E63" s="11"/>
      <c r="F63" s="22"/>
      <c r="G63" s="21"/>
      <c r="H63" s="2" t="e">
        <f>"&lt;TR&gt;&lt;TD&gt;"&amp;A63&amp;"&lt;TD&gt;"&amp;TEXT(B63,"#.")&amp;"&lt;TD&gt;"&amp;#REF!&amp;"&lt;TD&gt;"&amp;D63&amp;"&lt;TD&gt;"&amp;F63&amp;"&lt;TD&gt;"&amp;TEXT(G63,"mm:ss")&amp;"&lt;TD&gt;"&amp;TEXT(#REF!,"#.")</f>
        <v>#REF!</v>
      </c>
      <c r="I63" s="2">
        <v>24</v>
      </c>
      <c r="J63" s="2">
        <v>37</v>
      </c>
      <c r="L63" s="2">
        <f>COUNTIF(G:G,G63)</f>
        <v>0</v>
      </c>
    </row>
    <row r="64" spans="1:7" ht="15" customHeight="1">
      <c r="A64" s="140" t="s">
        <v>17</v>
      </c>
      <c r="B64" s="140"/>
      <c r="C64" s="140"/>
      <c r="D64" s="140"/>
      <c r="E64" s="140"/>
      <c r="F64" s="140"/>
      <c r="G64" s="140"/>
    </row>
    <row r="65" spans="1:8" ht="15" customHeight="1">
      <c r="A65" s="8" t="s">
        <v>6</v>
      </c>
      <c r="B65" s="8" t="s">
        <v>7</v>
      </c>
      <c r="C65" s="8" t="s">
        <v>8</v>
      </c>
      <c r="D65" s="8" t="s">
        <v>3</v>
      </c>
      <c r="E65" s="8" t="s">
        <v>4</v>
      </c>
      <c r="F65" s="8" t="s">
        <v>2</v>
      </c>
      <c r="G65" s="18" t="s">
        <v>5</v>
      </c>
      <c r="H65" s="2" t="s">
        <v>9</v>
      </c>
    </row>
    <row r="66" spans="1:7" ht="15" customHeight="1">
      <c r="A66" s="1" t="s">
        <v>147</v>
      </c>
      <c r="B66" s="9" t="s">
        <v>88</v>
      </c>
      <c r="C66" s="10"/>
      <c r="D66" s="3" t="s">
        <v>58</v>
      </c>
      <c r="E66" s="11" t="s">
        <v>25</v>
      </c>
      <c r="F66" s="22">
        <v>1954</v>
      </c>
      <c r="G66" s="21">
        <v>0.03023148148148148</v>
      </c>
    </row>
    <row r="67" spans="1:7" ht="15" customHeight="1">
      <c r="A67" s="1" t="s">
        <v>232</v>
      </c>
      <c r="B67" s="9" t="s">
        <v>92</v>
      </c>
      <c r="C67" s="10"/>
      <c r="D67" s="3" t="s">
        <v>233</v>
      </c>
      <c r="E67" s="11" t="s">
        <v>524</v>
      </c>
      <c r="F67" s="22">
        <v>1950</v>
      </c>
      <c r="G67" s="21">
        <v>0.04097222222222222</v>
      </c>
    </row>
    <row r="68" spans="1:7" ht="15" customHeight="1">
      <c r="A68" s="1" t="s">
        <v>252</v>
      </c>
      <c r="B68" s="9" t="s">
        <v>97</v>
      </c>
      <c r="C68" s="10"/>
      <c r="D68" s="3" t="s">
        <v>253</v>
      </c>
      <c r="E68" s="11" t="s">
        <v>26</v>
      </c>
      <c r="F68" s="22">
        <v>1957</v>
      </c>
      <c r="G68" s="21">
        <v>0.04099537037037037</v>
      </c>
    </row>
    <row r="69" spans="1:7" ht="15" customHeight="1">
      <c r="A69" s="1"/>
      <c r="B69" s="9"/>
      <c r="C69" s="10"/>
      <c r="D69" s="3"/>
      <c r="E69" s="11"/>
      <c r="F69" s="22"/>
      <c r="G69" s="19"/>
    </row>
    <row r="70" spans="1:12" ht="15" customHeight="1">
      <c r="A70" s="140" t="s">
        <v>18</v>
      </c>
      <c r="B70" s="140"/>
      <c r="C70" s="140"/>
      <c r="D70" s="140"/>
      <c r="E70" s="140"/>
      <c r="F70" s="140"/>
      <c r="G70" s="140"/>
      <c r="H70" s="2" t="str">
        <f>"&lt;TR&gt;&lt;TD COLSPAN=7&gt;&lt;FONT SIZE=+1&gt;&lt;B&gt;&lt;BR&gt;"&amp;A70&amp;"&lt;/B&gt;&lt;/FONT&gt;"</f>
        <v>&lt;TR&gt;&lt;TD COLSPAN=7&gt;&lt;FONT SIZE=+1&gt;&lt;B&gt;&lt;BR&gt;Muži 70 a více let   (od 1949)&lt;/B&gt;&lt;/FONT&gt;</v>
      </c>
      <c r="L70" s="2">
        <f>COUNTIF(G:G,G70)</f>
        <v>0</v>
      </c>
    </row>
    <row r="71" spans="1:8" ht="15" customHeight="1">
      <c r="A71" s="8" t="s">
        <v>6</v>
      </c>
      <c r="B71" s="8" t="s">
        <v>7</v>
      </c>
      <c r="C71" s="8" t="s">
        <v>8</v>
      </c>
      <c r="D71" s="8" t="s">
        <v>3</v>
      </c>
      <c r="E71" s="8" t="s">
        <v>4</v>
      </c>
      <c r="F71" s="8" t="s">
        <v>2</v>
      </c>
      <c r="G71" s="18" t="s">
        <v>5</v>
      </c>
      <c r="H71" s="2" t="s">
        <v>9</v>
      </c>
    </row>
    <row r="72" spans="1:7" ht="15" customHeight="1">
      <c r="A72" s="1" t="s">
        <v>215</v>
      </c>
      <c r="B72" s="12" t="s">
        <v>88</v>
      </c>
      <c r="C72" s="13"/>
      <c r="D72" s="3" t="s">
        <v>77</v>
      </c>
      <c r="E72" s="11" t="s">
        <v>25</v>
      </c>
      <c r="F72" s="22">
        <v>1940</v>
      </c>
      <c r="G72" s="21">
        <v>0.04065972222222222</v>
      </c>
    </row>
    <row r="73" spans="1:7" ht="15" customHeight="1">
      <c r="A73" s="12" t="s">
        <v>244</v>
      </c>
      <c r="B73" s="12" t="s">
        <v>92</v>
      </c>
      <c r="C73" s="13"/>
      <c r="D73" s="3" t="s">
        <v>245</v>
      </c>
      <c r="E73" s="11" t="s">
        <v>25</v>
      </c>
      <c r="F73" s="22">
        <v>1943</v>
      </c>
      <c r="G73" s="21">
        <v>0.04822916666666666</v>
      </c>
    </row>
    <row r="74" spans="1:7" ht="15" customHeight="1">
      <c r="A74" s="12"/>
      <c r="B74" s="12"/>
      <c r="C74" s="13"/>
      <c r="D74" s="3"/>
      <c r="E74" s="11"/>
      <c r="F74" s="22"/>
      <c r="G74" s="21"/>
    </row>
    <row r="75" spans="1:7" ht="15" customHeight="1">
      <c r="A75" s="12"/>
      <c r="B75" s="13"/>
      <c r="C75" s="13"/>
      <c r="D75" s="3"/>
      <c r="E75" s="11"/>
      <c r="F75" s="22"/>
      <c r="G75" s="19"/>
    </row>
    <row r="76" spans="1:12" ht="15" customHeight="1">
      <c r="A76" s="140" t="s">
        <v>19</v>
      </c>
      <c r="B76" s="140"/>
      <c r="C76" s="140"/>
      <c r="D76" s="140"/>
      <c r="E76" s="140"/>
      <c r="F76" s="140"/>
      <c r="G76" s="140"/>
      <c r="H76" s="2" t="str">
        <f>"&lt;TR&gt;&lt;TD COLSPAN=7&gt;&lt;FONT SIZE=+1&gt;&lt;B&gt;&lt;BR&gt;"&amp;A76&amp;"&lt;/B&gt;&lt;/FONT&gt;"</f>
        <v>&lt;TR&gt;&lt;TD COLSPAN=7&gt;&lt;FONT SIZE=+1&gt;&lt;B&gt;&lt;BR&gt;Ženy 18-39 let  (2001 - 1980)&lt;/B&gt;&lt;/FONT&gt;</v>
      </c>
      <c r="L76" s="2">
        <f>COUNTIF(G:G,G76)</f>
        <v>0</v>
      </c>
    </row>
    <row r="77" spans="1:8" ht="15" customHeight="1">
      <c r="A77" s="8" t="s">
        <v>6</v>
      </c>
      <c r="B77" s="8" t="s">
        <v>7</v>
      </c>
      <c r="C77" s="8" t="s">
        <v>8</v>
      </c>
      <c r="D77" s="8" t="s">
        <v>3</v>
      </c>
      <c r="E77" s="8" t="s">
        <v>4</v>
      </c>
      <c r="F77" s="8" t="s">
        <v>2</v>
      </c>
      <c r="G77" s="18" t="s">
        <v>5</v>
      </c>
      <c r="H77" s="2" t="s">
        <v>9</v>
      </c>
    </row>
    <row r="78" spans="1:7" ht="15" customHeight="1">
      <c r="A78" s="1" t="s">
        <v>135</v>
      </c>
      <c r="B78" s="9" t="s">
        <v>88</v>
      </c>
      <c r="C78" s="10"/>
      <c r="D78" s="3" t="s">
        <v>69</v>
      </c>
      <c r="E78" s="11" t="s">
        <v>70</v>
      </c>
      <c r="F78" s="22">
        <v>1994</v>
      </c>
      <c r="G78" s="21">
        <v>0.025740740740740745</v>
      </c>
    </row>
    <row r="79" spans="1:7" ht="15" customHeight="1">
      <c r="A79" s="1" t="s">
        <v>193</v>
      </c>
      <c r="B79" s="9" t="s">
        <v>92</v>
      </c>
      <c r="C79" s="10"/>
      <c r="D79" s="3" t="s">
        <v>67</v>
      </c>
      <c r="E79" s="11" t="s">
        <v>25</v>
      </c>
      <c r="F79" s="22">
        <v>1985</v>
      </c>
      <c r="G79" s="21">
        <v>0.026516203703703698</v>
      </c>
    </row>
    <row r="80" spans="1:7" ht="15" customHeight="1">
      <c r="A80" s="1" t="s">
        <v>267</v>
      </c>
      <c r="B80" s="9" t="s">
        <v>97</v>
      </c>
      <c r="C80" s="10"/>
      <c r="D80" s="3" t="s">
        <v>30</v>
      </c>
      <c r="E80" s="11" t="s">
        <v>25</v>
      </c>
      <c r="F80" s="22">
        <v>1993</v>
      </c>
      <c r="G80" s="21">
        <v>0.02670138888888889</v>
      </c>
    </row>
    <row r="81" spans="1:7" ht="15" customHeight="1">
      <c r="A81" s="1" t="s">
        <v>271</v>
      </c>
      <c r="B81" s="9" t="s">
        <v>101</v>
      </c>
      <c r="C81" s="10"/>
      <c r="D81" s="3" t="s">
        <v>78</v>
      </c>
      <c r="E81" s="11" t="s">
        <v>28</v>
      </c>
      <c r="F81" s="22">
        <v>2002</v>
      </c>
      <c r="G81" s="21">
        <v>0.027997685185185184</v>
      </c>
    </row>
    <row r="82" spans="1:7" ht="15" customHeight="1">
      <c r="A82" s="1" t="s">
        <v>160</v>
      </c>
      <c r="B82" s="9" t="s">
        <v>105</v>
      </c>
      <c r="C82" s="10"/>
      <c r="D82" s="3" t="s">
        <v>71</v>
      </c>
      <c r="E82" s="11" t="s">
        <v>28</v>
      </c>
      <c r="F82" s="22">
        <v>1989</v>
      </c>
      <c r="G82" s="21">
        <v>0.029988425925925922</v>
      </c>
    </row>
    <row r="83" spans="1:7" ht="15" customHeight="1">
      <c r="A83" s="1" t="s">
        <v>294</v>
      </c>
      <c r="B83" s="9" t="s">
        <v>109</v>
      </c>
      <c r="C83" s="10"/>
      <c r="D83" s="3" t="s">
        <v>330</v>
      </c>
      <c r="E83" s="11" t="s">
        <v>26</v>
      </c>
      <c r="F83" s="22">
        <v>1981</v>
      </c>
      <c r="G83" s="21">
        <v>0.03246527777777778</v>
      </c>
    </row>
    <row r="84" spans="1:7" ht="15" customHeight="1">
      <c r="A84" s="1" t="s">
        <v>325</v>
      </c>
      <c r="B84" s="9" t="s">
        <v>113</v>
      </c>
      <c r="C84" s="10"/>
      <c r="D84" s="3" t="s">
        <v>461</v>
      </c>
      <c r="E84" s="11" t="s">
        <v>521</v>
      </c>
      <c r="F84" s="22">
        <v>1984</v>
      </c>
      <c r="G84" s="21">
        <v>0.03670138888888889</v>
      </c>
    </row>
    <row r="85" spans="1:7" ht="15" customHeight="1">
      <c r="A85" s="1" t="s">
        <v>223</v>
      </c>
      <c r="B85" s="9" t="s">
        <v>118</v>
      </c>
      <c r="C85" s="10"/>
      <c r="D85" s="3" t="s">
        <v>66</v>
      </c>
      <c r="E85" s="11" t="s">
        <v>28</v>
      </c>
      <c r="F85" s="22">
        <v>1980</v>
      </c>
      <c r="G85" s="21">
        <v>0.03695601851851852</v>
      </c>
    </row>
    <row r="86" spans="1:7" ht="15" customHeight="1">
      <c r="A86" s="1" t="s">
        <v>282</v>
      </c>
      <c r="B86" s="9" t="s">
        <v>122</v>
      </c>
      <c r="C86" s="10"/>
      <c r="D86" s="3" t="s">
        <v>360</v>
      </c>
      <c r="E86" s="11" t="s">
        <v>26</v>
      </c>
      <c r="F86" s="22">
        <v>1984</v>
      </c>
      <c r="G86" s="21">
        <v>0.04096064814814815</v>
      </c>
    </row>
    <row r="87" spans="1:7" ht="15" customHeight="1">
      <c r="A87" s="1"/>
      <c r="B87" s="9"/>
      <c r="C87" s="10"/>
      <c r="D87" s="3"/>
      <c r="E87" s="11"/>
      <c r="F87" s="22"/>
      <c r="G87" s="19"/>
    </row>
    <row r="88" spans="1:7" ht="15" customHeight="1">
      <c r="A88" s="140" t="s">
        <v>20</v>
      </c>
      <c r="B88" s="140"/>
      <c r="C88" s="140"/>
      <c r="D88" s="140"/>
      <c r="E88" s="140"/>
      <c r="F88" s="140"/>
      <c r="G88" s="140"/>
    </row>
    <row r="89" spans="1:8" ht="15" customHeight="1">
      <c r="A89" s="8" t="s">
        <v>6</v>
      </c>
      <c r="B89" s="8" t="s">
        <v>7</v>
      </c>
      <c r="C89" s="8" t="s">
        <v>8</v>
      </c>
      <c r="D89" s="8" t="s">
        <v>3</v>
      </c>
      <c r="E89" s="8" t="s">
        <v>4</v>
      </c>
      <c r="F89" s="8" t="s">
        <v>2</v>
      </c>
      <c r="G89" s="18" t="s">
        <v>5</v>
      </c>
      <c r="H89" s="2" t="s">
        <v>9</v>
      </c>
    </row>
    <row r="90" spans="1:7" ht="15" customHeight="1">
      <c r="A90" s="1" t="s">
        <v>286</v>
      </c>
      <c r="B90" s="9" t="s">
        <v>88</v>
      </c>
      <c r="C90" s="10"/>
      <c r="D90" s="3" t="s">
        <v>525</v>
      </c>
      <c r="E90" s="11" t="s">
        <v>73</v>
      </c>
      <c r="F90" s="22">
        <v>1972</v>
      </c>
      <c r="G90" s="21">
        <v>0.02685185185185185</v>
      </c>
    </row>
    <row r="91" spans="1:7" ht="15" customHeight="1">
      <c r="A91" s="1" t="s">
        <v>139</v>
      </c>
      <c r="B91" s="9" t="s">
        <v>92</v>
      </c>
      <c r="C91" s="10"/>
      <c r="D91" s="3" t="s">
        <v>79</v>
      </c>
      <c r="E91" s="11" t="s">
        <v>25</v>
      </c>
      <c r="F91" s="22">
        <v>1978</v>
      </c>
      <c r="G91" s="21">
        <v>0.027789351851851853</v>
      </c>
    </row>
    <row r="92" spans="1:7" ht="15" customHeight="1">
      <c r="A92" s="1" t="s">
        <v>200</v>
      </c>
      <c r="B92" s="9" t="s">
        <v>97</v>
      </c>
      <c r="C92" s="10"/>
      <c r="D92" s="138" t="s">
        <v>31</v>
      </c>
      <c r="E92" s="11" t="s">
        <v>32</v>
      </c>
      <c r="F92" s="22">
        <v>1977</v>
      </c>
      <c r="G92" s="21">
        <v>0.030115740740740738</v>
      </c>
    </row>
    <row r="93" spans="1:7" ht="15" customHeight="1">
      <c r="A93" s="1" t="s">
        <v>300</v>
      </c>
      <c r="B93" s="9" t="s">
        <v>101</v>
      </c>
      <c r="C93" s="10"/>
      <c r="D93" s="3" t="s">
        <v>82</v>
      </c>
      <c r="E93" s="11" t="s">
        <v>81</v>
      </c>
      <c r="F93" s="22">
        <v>1977</v>
      </c>
      <c r="G93" s="21">
        <v>0.03824074074074074</v>
      </c>
    </row>
    <row r="94" spans="1:7" ht="15" customHeight="1">
      <c r="A94" s="1" t="s">
        <v>304</v>
      </c>
      <c r="B94" s="9" t="s">
        <v>105</v>
      </c>
      <c r="C94" s="10"/>
      <c r="D94" s="138" t="s">
        <v>75</v>
      </c>
      <c r="E94" s="11" t="s">
        <v>26</v>
      </c>
      <c r="F94" s="22">
        <v>1977</v>
      </c>
      <c r="G94" s="21">
        <v>0.039317129629629625</v>
      </c>
    </row>
    <row r="95" spans="1:7" ht="15" customHeight="1">
      <c r="A95" s="1" t="s">
        <v>327</v>
      </c>
      <c r="B95" s="9" t="s">
        <v>109</v>
      </c>
      <c r="C95" s="10"/>
      <c r="D95" s="3" t="s">
        <v>74</v>
      </c>
      <c r="E95" s="11" t="s">
        <v>26</v>
      </c>
      <c r="F95" s="22">
        <v>1970</v>
      </c>
      <c r="G95" s="21">
        <v>0.03961805555555555</v>
      </c>
    </row>
    <row r="96" spans="1:7" ht="15" customHeight="1">
      <c r="A96" s="1"/>
      <c r="B96" s="9"/>
      <c r="C96" s="10"/>
      <c r="D96" s="3"/>
      <c r="E96" s="11"/>
      <c r="F96" s="22"/>
      <c r="G96" s="21"/>
    </row>
    <row r="97" spans="1:7" ht="15" customHeight="1">
      <c r="A97" s="1"/>
      <c r="B97" s="9"/>
      <c r="C97" s="10"/>
      <c r="D97" s="3"/>
      <c r="E97" s="11"/>
      <c r="F97" s="22"/>
      <c r="G97" s="21"/>
    </row>
    <row r="98" spans="1:7" ht="15" customHeight="1">
      <c r="A98" s="1"/>
      <c r="B98" s="9"/>
      <c r="C98" s="10"/>
      <c r="D98" s="3"/>
      <c r="E98" s="11"/>
      <c r="F98" s="22"/>
      <c r="G98" s="21"/>
    </row>
    <row r="99" spans="1:12" ht="15" customHeight="1">
      <c r="A99" s="140" t="s">
        <v>21</v>
      </c>
      <c r="B99" s="140"/>
      <c r="C99" s="140"/>
      <c r="D99" s="140"/>
      <c r="E99" s="140"/>
      <c r="F99" s="140"/>
      <c r="G99" s="140"/>
      <c r="H99" s="2" t="str">
        <f>"&lt;TR&gt;&lt;TD COLSPAN=7&gt;&lt;FONT SIZE=+1&gt;&lt;B&gt;&lt;BR&gt;"&amp;A99&amp;"&lt;/B&gt;&lt;/FONT&gt;"</f>
        <v>&lt;TR&gt;&lt;TD COLSPAN=7&gt;&lt;FONT SIZE=+1&gt;&lt;B&gt;&lt;BR&gt;Ženy 50 a více let   (od 1969)&lt;/B&gt;&lt;/FONT&gt;</v>
      </c>
      <c r="L99" s="2">
        <f>COUNTIF(G:G,G99)</f>
        <v>0</v>
      </c>
    </row>
    <row r="100" spans="1:8" ht="15" customHeight="1">
      <c r="A100" s="8" t="s">
        <v>6</v>
      </c>
      <c r="B100" s="8" t="s">
        <v>7</v>
      </c>
      <c r="C100" s="8" t="s">
        <v>8</v>
      </c>
      <c r="D100" s="8" t="s">
        <v>3</v>
      </c>
      <c r="E100" s="8" t="s">
        <v>4</v>
      </c>
      <c r="F100" s="8" t="s">
        <v>2</v>
      </c>
      <c r="G100" s="18" t="s">
        <v>5</v>
      </c>
      <c r="H100" s="2" t="s">
        <v>9</v>
      </c>
    </row>
    <row r="101" spans="1:7" ht="15" customHeight="1">
      <c r="A101" s="1" t="s">
        <v>207</v>
      </c>
      <c r="B101" s="9" t="s">
        <v>88</v>
      </c>
      <c r="C101" s="10"/>
      <c r="D101" s="3" t="s">
        <v>29</v>
      </c>
      <c r="E101" s="11" t="s">
        <v>25</v>
      </c>
      <c r="F101" s="22">
        <v>1964</v>
      </c>
      <c r="G101" s="21">
        <v>0.03679398148148148</v>
      </c>
    </row>
    <row r="102" spans="1:7" ht="15" customHeight="1">
      <c r="A102" s="1" t="s">
        <v>212</v>
      </c>
      <c r="B102" s="9" t="s">
        <v>92</v>
      </c>
      <c r="C102" s="10"/>
      <c r="D102" s="3" t="s">
        <v>34</v>
      </c>
      <c r="E102" s="11" t="s">
        <v>25</v>
      </c>
      <c r="F102" s="22">
        <v>1965</v>
      </c>
      <c r="G102" s="21">
        <v>0.03984953703703704</v>
      </c>
    </row>
    <row r="103" spans="1:7" ht="15" customHeight="1">
      <c r="A103" s="1"/>
      <c r="B103" s="9"/>
      <c r="C103" s="1"/>
      <c r="D103" s="3"/>
      <c r="E103" s="11"/>
      <c r="F103" s="22"/>
      <c r="G103" s="21"/>
    </row>
    <row r="104" spans="1:7" ht="15" customHeight="1">
      <c r="A104" s="1"/>
      <c r="B104" s="9"/>
      <c r="C104" s="1"/>
      <c r="F104" s="22"/>
      <c r="G104" s="21"/>
    </row>
    <row r="105" spans="1:7" ht="15" customHeight="1">
      <c r="A105" s="1"/>
      <c r="B105" s="9"/>
      <c r="C105" s="1"/>
      <c r="F105" s="22"/>
      <c r="G105" s="21"/>
    </row>
    <row r="106" ht="15" customHeight="1">
      <c r="G106" s="19"/>
    </row>
    <row r="107" spans="1:7" ht="15" customHeight="1">
      <c r="A107" s="14"/>
      <c r="B107" s="15"/>
      <c r="C107" s="14"/>
      <c r="D107" s="16" t="s">
        <v>22</v>
      </c>
      <c r="E107" s="16" t="s">
        <v>10</v>
      </c>
      <c r="G107" s="19"/>
    </row>
    <row r="108" spans="2:7" ht="15" customHeight="1">
      <c r="B108" s="15"/>
      <c r="C108" s="15"/>
      <c r="D108" s="15" t="s">
        <v>1</v>
      </c>
      <c r="E108" s="1" t="s">
        <v>0</v>
      </c>
      <c r="G108" s="19"/>
    </row>
    <row r="109" ht="12.75">
      <c r="G109" s="19"/>
    </row>
    <row r="110" ht="12.75">
      <c r="G110" s="19"/>
    </row>
  </sheetData>
  <sheetProtection/>
  <mergeCells count="11">
    <mergeCell ref="A2:G2"/>
    <mergeCell ref="A70:G70"/>
    <mergeCell ref="A76:G76"/>
    <mergeCell ref="A88:G88"/>
    <mergeCell ref="A99:G99"/>
    <mergeCell ref="A1:G1"/>
    <mergeCell ref="A3:G3"/>
    <mergeCell ref="A30:G30"/>
    <mergeCell ref="A47:G47"/>
    <mergeCell ref="A64:G64"/>
    <mergeCell ref="A5:G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5"/>
  <sheetViews>
    <sheetView zoomScale="130" zoomScaleNormal="130" zoomScalePageLayoutView="0" workbookViewId="0" topLeftCell="A42">
      <selection activeCell="C69" sqref="C69"/>
    </sheetView>
  </sheetViews>
  <sheetFormatPr defaultColWidth="9.125" defaultRowHeight="12.75"/>
  <cols>
    <col min="1" max="1" width="16.375" style="27" bestFit="1" customWidth="1"/>
    <col min="2" max="2" width="3.875" style="27" customWidth="1"/>
    <col min="3" max="3" width="5.875" style="27" customWidth="1"/>
    <col min="4" max="25" width="5.125" style="27" customWidth="1"/>
    <col min="26" max="26" width="9.625" style="27" bestFit="1" customWidth="1"/>
    <col min="27" max="16384" width="9.125" style="27" customWidth="1"/>
  </cols>
  <sheetData>
    <row r="1" spans="1:26" ht="15.75">
      <c r="A1" s="23"/>
      <c r="B1" s="23" t="s">
        <v>85</v>
      </c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/>
      <c r="T1" s="25"/>
      <c r="U1" s="25"/>
      <c r="V1" s="25"/>
      <c r="W1" s="25"/>
      <c r="X1" s="25"/>
      <c r="Y1" s="25"/>
      <c r="Z1" s="26"/>
    </row>
    <row r="2" spans="1:26" s="33" customFormat="1" ht="11.25">
      <c r="A2" s="29"/>
      <c r="B2" s="28" t="s">
        <v>86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31"/>
      <c r="U2" s="31"/>
      <c r="V2" s="31"/>
      <c r="W2" s="31"/>
      <c r="X2" s="31"/>
      <c r="Y2" s="31"/>
      <c r="Z2" s="32"/>
    </row>
    <row r="3" spans="1:26" s="33" customFormat="1" ht="11.25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1"/>
      <c r="T3" s="31"/>
      <c r="U3" s="31"/>
      <c r="V3" s="31"/>
      <c r="W3" s="31"/>
      <c r="X3" s="31"/>
      <c r="Y3" s="31"/>
      <c r="Z3" s="32"/>
    </row>
    <row r="4" spans="1:26" s="33" customFormat="1" ht="11.25">
      <c r="A4" s="35"/>
      <c r="B4" s="34" t="s">
        <v>87</v>
      </c>
      <c r="C4" s="30" t="s">
        <v>88</v>
      </c>
      <c r="D4" s="35" t="s">
        <v>89</v>
      </c>
      <c r="E4" s="35"/>
      <c r="F4" s="35"/>
      <c r="G4" s="35"/>
      <c r="H4" s="35"/>
      <c r="I4" s="35"/>
      <c r="J4" s="35"/>
      <c r="K4" s="35"/>
      <c r="L4" s="35"/>
      <c r="O4" s="35" t="s">
        <v>90</v>
      </c>
      <c r="P4" s="35"/>
      <c r="Q4" s="36" t="s">
        <v>91</v>
      </c>
      <c r="R4" s="35"/>
      <c r="S4" s="35" t="s">
        <v>26</v>
      </c>
      <c r="T4" s="37"/>
      <c r="U4" s="37"/>
      <c r="V4" s="37"/>
      <c r="W4" s="37"/>
      <c r="X4" s="37"/>
      <c r="Y4" s="37"/>
      <c r="Z4" s="32"/>
    </row>
    <row r="5" spans="1:26" s="33" customFormat="1" ht="11.25">
      <c r="A5" s="35"/>
      <c r="B5" s="34"/>
      <c r="C5" s="30" t="s">
        <v>92</v>
      </c>
      <c r="D5" s="35" t="s">
        <v>93</v>
      </c>
      <c r="E5" s="35"/>
      <c r="F5" s="35"/>
      <c r="G5" s="35"/>
      <c r="H5" s="35"/>
      <c r="I5" s="35"/>
      <c r="J5" s="35"/>
      <c r="K5" s="35"/>
      <c r="L5" s="35"/>
      <c r="O5" s="35" t="s">
        <v>94</v>
      </c>
      <c r="P5" s="35"/>
      <c r="Q5" s="36" t="s">
        <v>95</v>
      </c>
      <c r="R5" s="35"/>
      <c r="S5" s="35" t="s">
        <v>96</v>
      </c>
      <c r="T5" s="37"/>
      <c r="U5" s="37"/>
      <c r="V5" s="37"/>
      <c r="W5" s="37"/>
      <c r="X5" s="37"/>
      <c r="Y5" s="37"/>
      <c r="Z5" s="32"/>
    </row>
    <row r="6" spans="1:26" s="33" customFormat="1" ht="11.25">
      <c r="A6" s="35"/>
      <c r="B6" s="34"/>
      <c r="C6" s="38" t="s">
        <v>97</v>
      </c>
      <c r="D6" s="35" t="s">
        <v>98</v>
      </c>
      <c r="E6" s="35"/>
      <c r="F6" s="35"/>
      <c r="G6" s="35"/>
      <c r="H6" s="35"/>
      <c r="I6" s="35"/>
      <c r="J6" s="35"/>
      <c r="K6" s="35"/>
      <c r="L6" s="35"/>
      <c r="O6" s="35" t="s">
        <v>99</v>
      </c>
      <c r="P6" s="35"/>
      <c r="Q6" s="37" t="s">
        <v>100</v>
      </c>
      <c r="R6" s="35"/>
      <c r="S6" s="35" t="s">
        <v>26</v>
      </c>
      <c r="T6" s="37"/>
      <c r="U6" s="37"/>
      <c r="V6" s="37"/>
      <c r="W6" s="37"/>
      <c r="X6" s="37"/>
      <c r="Y6" s="37"/>
      <c r="Z6" s="32"/>
    </row>
    <row r="7" spans="1:26" s="33" customFormat="1" ht="11.25">
      <c r="A7" s="35"/>
      <c r="B7" s="34"/>
      <c r="C7" s="30" t="s">
        <v>101</v>
      </c>
      <c r="D7" s="35" t="s">
        <v>102</v>
      </c>
      <c r="E7" s="35"/>
      <c r="F7" s="35"/>
      <c r="G7" s="35"/>
      <c r="H7" s="35"/>
      <c r="I7" s="35"/>
      <c r="J7" s="35"/>
      <c r="K7" s="35"/>
      <c r="L7" s="35"/>
      <c r="O7" s="35" t="s">
        <v>103</v>
      </c>
      <c r="P7" s="35"/>
      <c r="Q7" s="37" t="s">
        <v>104</v>
      </c>
      <c r="R7" s="35"/>
      <c r="S7" s="35" t="s">
        <v>26</v>
      </c>
      <c r="T7" s="37"/>
      <c r="U7" s="37"/>
      <c r="V7" s="37"/>
      <c r="W7" s="37"/>
      <c r="X7" s="37"/>
      <c r="Y7" s="37"/>
      <c r="Z7" s="32"/>
    </row>
    <row r="8" spans="1:26" s="33" customFormat="1" ht="11.25">
      <c r="A8" s="35"/>
      <c r="B8" s="34"/>
      <c r="C8" s="30" t="s">
        <v>105</v>
      </c>
      <c r="D8" s="35" t="s">
        <v>106</v>
      </c>
      <c r="E8" s="35"/>
      <c r="F8" s="35"/>
      <c r="G8" s="35"/>
      <c r="H8" s="35"/>
      <c r="I8" s="35"/>
      <c r="J8" s="35"/>
      <c r="K8" s="35"/>
      <c r="L8" s="35"/>
      <c r="O8" s="35" t="s">
        <v>107</v>
      </c>
      <c r="P8" s="35"/>
      <c r="Q8" s="37" t="s">
        <v>108</v>
      </c>
      <c r="R8" s="35"/>
      <c r="S8" s="35" t="s">
        <v>26</v>
      </c>
      <c r="T8" s="37"/>
      <c r="U8" s="37"/>
      <c r="V8" s="37"/>
      <c r="W8" s="37"/>
      <c r="X8" s="37"/>
      <c r="Y8" s="37"/>
      <c r="Z8" s="32"/>
    </row>
    <row r="9" spans="1:26" s="33" customFormat="1" ht="11.25">
      <c r="A9" s="35"/>
      <c r="B9" s="34"/>
      <c r="C9" s="30" t="s">
        <v>109</v>
      </c>
      <c r="D9" s="35" t="s">
        <v>110</v>
      </c>
      <c r="E9" s="35"/>
      <c r="F9" s="35"/>
      <c r="G9" s="35"/>
      <c r="H9" s="35"/>
      <c r="I9" s="35"/>
      <c r="J9" s="35"/>
      <c r="K9" s="35"/>
      <c r="L9" s="35"/>
      <c r="O9" s="35" t="s">
        <v>111</v>
      </c>
      <c r="P9" s="35"/>
      <c r="Q9" s="37" t="s">
        <v>112</v>
      </c>
      <c r="R9" s="35"/>
      <c r="S9" s="35" t="s">
        <v>26</v>
      </c>
      <c r="T9" s="37"/>
      <c r="U9" s="37"/>
      <c r="V9" s="37"/>
      <c r="W9" s="37"/>
      <c r="X9" s="37"/>
      <c r="Y9" s="37"/>
      <c r="Z9" s="32"/>
    </row>
    <row r="10" spans="1:26" s="33" customFormat="1" ht="11.25">
      <c r="A10" s="35"/>
      <c r="B10" s="34"/>
      <c r="C10" s="30" t="s">
        <v>113</v>
      </c>
      <c r="D10" s="35" t="s">
        <v>114</v>
      </c>
      <c r="E10" s="35"/>
      <c r="F10" s="35"/>
      <c r="G10" s="35"/>
      <c r="H10" s="35"/>
      <c r="I10" s="35"/>
      <c r="J10" s="35"/>
      <c r="K10" s="35"/>
      <c r="L10" s="35"/>
      <c r="O10" s="35" t="s">
        <v>115</v>
      </c>
      <c r="P10" s="35"/>
      <c r="Q10" s="37" t="s">
        <v>116</v>
      </c>
      <c r="R10" s="35"/>
      <c r="S10" s="35" t="s">
        <v>117</v>
      </c>
      <c r="T10" s="37"/>
      <c r="U10" s="37"/>
      <c r="V10" s="37"/>
      <c r="W10" s="37"/>
      <c r="X10" s="37"/>
      <c r="Y10" s="37"/>
      <c r="Z10" s="32"/>
    </row>
    <row r="11" spans="1:27" s="33" customFormat="1" ht="11.25">
      <c r="A11" s="35"/>
      <c r="B11" s="35"/>
      <c r="C11" s="38" t="s">
        <v>118</v>
      </c>
      <c r="D11" s="35" t="s">
        <v>119</v>
      </c>
      <c r="E11" s="35"/>
      <c r="F11" s="35"/>
      <c r="G11" s="35"/>
      <c r="H11" s="35"/>
      <c r="I11" s="35"/>
      <c r="J11" s="35"/>
      <c r="K11" s="35"/>
      <c r="L11" s="35"/>
      <c r="O11" s="35" t="s">
        <v>120</v>
      </c>
      <c r="P11" s="35"/>
      <c r="Q11" s="37" t="s">
        <v>121</v>
      </c>
      <c r="R11" s="35"/>
      <c r="S11" s="35" t="s">
        <v>26</v>
      </c>
      <c r="T11" s="35"/>
      <c r="U11" s="35"/>
      <c r="V11" s="35"/>
      <c r="W11" s="35"/>
      <c r="X11" s="35"/>
      <c r="Y11" s="35"/>
      <c r="Z11" s="35"/>
      <c r="AA11" s="35"/>
    </row>
    <row r="12" spans="2:27" s="33" customFormat="1" ht="11.25">
      <c r="B12" s="35"/>
      <c r="C12" s="30" t="s">
        <v>122</v>
      </c>
      <c r="D12" s="35" t="s">
        <v>123</v>
      </c>
      <c r="E12" s="35"/>
      <c r="F12" s="35"/>
      <c r="G12" s="35"/>
      <c r="H12" s="35"/>
      <c r="I12" s="35"/>
      <c r="J12" s="35"/>
      <c r="K12" s="35"/>
      <c r="L12" s="35"/>
      <c r="O12" s="35" t="s">
        <v>124</v>
      </c>
      <c r="P12" s="35"/>
      <c r="Q12" s="37" t="s">
        <v>125</v>
      </c>
      <c r="R12" s="35"/>
      <c r="S12" s="35" t="s">
        <v>26</v>
      </c>
      <c r="T12" s="35"/>
      <c r="U12" s="35"/>
      <c r="V12" s="35"/>
      <c r="W12" s="35"/>
      <c r="X12" s="35"/>
      <c r="Y12" s="35"/>
      <c r="Z12" s="35"/>
      <c r="AA12" s="35"/>
    </row>
    <row r="13" spans="1:26" s="33" customFormat="1" ht="11.25">
      <c r="A13" s="35"/>
      <c r="B13" s="35"/>
      <c r="C13" s="30" t="s">
        <v>126</v>
      </c>
      <c r="D13" s="35" t="s">
        <v>127</v>
      </c>
      <c r="E13" s="35"/>
      <c r="F13" s="35"/>
      <c r="G13" s="35"/>
      <c r="H13" s="35"/>
      <c r="I13" s="35"/>
      <c r="J13" s="35"/>
      <c r="K13" s="35"/>
      <c r="L13" s="35"/>
      <c r="O13" s="39" t="s">
        <v>128</v>
      </c>
      <c r="P13" s="35"/>
      <c r="Q13" s="37" t="s">
        <v>129</v>
      </c>
      <c r="R13" s="35"/>
      <c r="S13" s="35" t="s">
        <v>130</v>
      </c>
      <c r="T13" s="37"/>
      <c r="U13" s="37"/>
      <c r="V13" s="37"/>
      <c r="W13" s="37"/>
      <c r="X13" s="37"/>
      <c r="Y13" s="37"/>
      <c r="Z13" s="32"/>
    </row>
    <row r="14" spans="1:26" s="33" customFormat="1" ht="11.25">
      <c r="A14" s="35"/>
      <c r="B14" s="35"/>
      <c r="C14" s="30" t="s">
        <v>131</v>
      </c>
      <c r="D14" s="35" t="s">
        <v>132</v>
      </c>
      <c r="E14" s="35"/>
      <c r="F14" s="35"/>
      <c r="G14" s="35"/>
      <c r="H14" s="35"/>
      <c r="I14" s="35"/>
      <c r="J14" s="35"/>
      <c r="K14" s="35"/>
      <c r="L14" s="35"/>
      <c r="O14" s="39" t="s">
        <v>133</v>
      </c>
      <c r="P14" s="35"/>
      <c r="Q14" s="37" t="s">
        <v>134</v>
      </c>
      <c r="R14" s="35"/>
      <c r="S14" s="35" t="s">
        <v>26</v>
      </c>
      <c r="T14" s="37"/>
      <c r="U14" s="37"/>
      <c r="V14" s="37"/>
      <c r="W14" s="37"/>
      <c r="X14" s="37"/>
      <c r="Y14" s="37"/>
      <c r="Z14" s="32"/>
    </row>
    <row r="15" spans="1:26" s="33" customFormat="1" ht="11.25">
      <c r="A15" s="35"/>
      <c r="B15" s="35"/>
      <c r="C15" s="30" t="s">
        <v>135</v>
      </c>
      <c r="D15" s="35" t="s">
        <v>136</v>
      </c>
      <c r="E15" s="35"/>
      <c r="F15" s="35"/>
      <c r="G15" s="35"/>
      <c r="H15" s="35"/>
      <c r="I15" s="35"/>
      <c r="J15" s="35"/>
      <c r="K15" s="35"/>
      <c r="L15" s="35"/>
      <c r="O15" s="35" t="s">
        <v>137</v>
      </c>
      <c r="P15" s="35"/>
      <c r="Q15" s="37" t="s">
        <v>138</v>
      </c>
      <c r="R15" s="35"/>
      <c r="S15" s="35" t="s">
        <v>26</v>
      </c>
      <c r="T15" s="37"/>
      <c r="U15" s="37"/>
      <c r="V15" s="37"/>
      <c r="W15" s="37"/>
      <c r="X15" s="37"/>
      <c r="Y15" s="37"/>
      <c r="Z15" s="32"/>
    </row>
    <row r="16" spans="1:26" s="33" customFormat="1" ht="11.25">
      <c r="A16" s="35"/>
      <c r="B16" s="35"/>
      <c r="C16" s="30" t="s">
        <v>139</v>
      </c>
      <c r="D16" s="35" t="s">
        <v>140</v>
      </c>
      <c r="E16" s="35"/>
      <c r="F16" s="35"/>
      <c r="G16" s="35"/>
      <c r="H16" s="35"/>
      <c r="I16" s="35"/>
      <c r="J16" s="35"/>
      <c r="K16" s="35"/>
      <c r="L16" s="35"/>
      <c r="O16" s="35" t="s">
        <v>94</v>
      </c>
      <c r="P16" s="35"/>
      <c r="Q16" s="37" t="s">
        <v>141</v>
      </c>
      <c r="R16" s="35"/>
      <c r="S16" s="35" t="s">
        <v>142</v>
      </c>
      <c r="T16" s="37"/>
      <c r="U16" s="37"/>
      <c r="V16" s="37"/>
      <c r="W16" s="37"/>
      <c r="X16" s="37"/>
      <c r="Y16" s="37"/>
      <c r="Z16" s="32"/>
    </row>
    <row r="17" spans="1:26" s="33" customFormat="1" ht="11.25">
      <c r="A17" s="35"/>
      <c r="B17" s="35"/>
      <c r="C17" s="30" t="s">
        <v>143</v>
      </c>
      <c r="D17" s="35" t="s">
        <v>144</v>
      </c>
      <c r="E17" s="35"/>
      <c r="F17" s="35"/>
      <c r="G17" s="35"/>
      <c r="H17" s="35"/>
      <c r="I17" s="35"/>
      <c r="J17" s="35"/>
      <c r="K17" s="35"/>
      <c r="L17" s="35"/>
      <c r="O17" s="35" t="s">
        <v>145</v>
      </c>
      <c r="P17" s="35"/>
      <c r="Q17" s="37" t="s">
        <v>146</v>
      </c>
      <c r="R17" s="35"/>
      <c r="S17" s="35" t="s">
        <v>96</v>
      </c>
      <c r="T17" s="37"/>
      <c r="U17" s="37"/>
      <c r="V17" s="37"/>
      <c r="W17" s="37"/>
      <c r="X17" s="37"/>
      <c r="Y17" s="37"/>
      <c r="Z17" s="32"/>
    </row>
    <row r="18" spans="1:26" s="33" customFormat="1" ht="11.25">
      <c r="A18" s="40"/>
      <c r="B18" s="35"/>
      <c r="C18" s="30" t="s">
        <v>147</v>
      </c>
      <c r="D18" s="35" t="s">
        <v>148</v>
      </c>
      <c r="E18" s="35"/>
      <c r="F18" s="35"/>
      <c r="G18" s="35"/>
      <c r="H18" s="35"/>
      <c r="I18" s="35"/>
      <c r="J18" s="35"/>
      <c r="K18" s="35"/>
      <c r="L18" s="35"/>
      <c r="O18" s="35" t="s">
        <v>149</v>
      </c>
      <c r="P18" s="35"/>
      <c r="Q18" s="37" t="s">
        <v>150</v>
      </c>
      <c r="R18" s="35"/>
      <c r="S18" s="35" t="s">
        <v>151</v>
      </c>
      <c r="T18" s="37"/>
      <c r="U18" s="37"/>
      <c r="V18" s="37"/>
      <c r="W18" s="37"/>
      <c r="X18" s="37"/>
      <c r="Y18" s="37"/>
      <c r="Z18" s="32"/>
    </row>
    <row r="19" spans="1:26" s="33" customFormat="1" ht="11.25">
      <c r="A19" s="35"/>
      <c r="B19" s="35"/>
      <c r="C19" s="30" t="s">
        <v>152</v>
      </c>
      <c r="D19" s="35" t="s">
        <v>153</v>
      </c>
      <c r="E19" s="35"/>
      <c r="F19" s="35"/>
      <c r="G19" s="35"/>
      <c r="H19" s="35"/>
      <c r="I19" s="35"/>
      <c r="J19" s="35"/>
      <c r="K19" s="35"/>
      <c r="L19" s="35"/>
      <c r="O19" s="35" t="s">
        <v>154</v>
      </c>
      <c r="P19" s="35"/>
      <c r="Q19" s="37" t="s">
        <v>155</v>
      </c>
      <c r="R19" s="35"/>
      <c r="S19" s="35" t="s">
        <v>26</v>
      </c>
      <c r="T19" s="37"/>
      <c r="U19" s="37"/>
      <c r="V19" s="37"/>
      <c r="W19" s="37"/>
      <c r="X19" s="37"/>
      <c r="Y19" s="37"/>
      <c r="Z19" s="32"/>
    </row>
    <row r="20" spans="1:26" s="33" customFormat="1" ht="11.25">
      <c r="A20" s="35"/>
      <c r="B20" s="35"/>
      <c r="C20" s="30" t="s">
        <v>156</v>
      </c>
      <c r="D20" s="35" t="s">
        <v>157</v>
      </c>
      <c r="E20" s="35"/>
      <c r="F20" s="35"/>
      <c r="G20" s="35"/>
      <c r="H20" s="35"/>
      <c r="I20" s="35"/>
      <c r="J20" s="35"/>
      <c r="K20" s="35"/>
      <c r="L20" s="35"/>
      <c r="O20" s="35" t="s">
        <v>158</v>
      </c>
      <c r="P20" s="35"/>
      <c r="Q20" s="36" t="s">
        <v>159</v>
      </c>
      <c r="R20" s="35"/>
      <c r="S20" s="35" t="s">
        <v>40</v>
      </c>
      <c r="T20" s="37"/>
      <c r="U20" s="37"/>
      <c r="V20" s="37"/>
      <c r="W20" s="37"/>
      <c r="X20" s="37"/>
      <c r="Y20" s="37"/>
      <c r="Z20" s="32"/>
    </row>
    <row r="21" spans="1:26" s="33" customFormat="1" ht="11.25">
      <c r="A21" s="35"/>
      <c r="B21" s="35"/>
      <c r="C21" s="30" t="s">
        <v>160</v>
      </c>
      <c r="D21" s="35" t="s">
        <v>161</v>
      </c>
      <c r="E21" s="35"/>
      <c r="F21" s="35"/>
      <c r="G21" s="35"/>
      <c r="H21" s="35"/>
      <c r="I21" s="35"/>
      <c r="J21" s="35"/>
      <c r="K21" s="35"/>
      <c r="L21" s="35"/>
      <c r="O21" s="35" t="s">
        <v>162</v>
      </c>
      <c r="P21" s="35"/>
      <c r="Q21" s="37" t="s">
        <v>163</v>
      </c>
      <c r="R21" s="35"/>
      <c r="S21" s="35" t="s">
        <v>164</v>
      </c>
      <c r="T21" s="37"/>
      <c r="U21" s="37"/>
      <c r="V21" s="37"/>
      <c r="W21" s="37"/>
      <c r="X21" s="37"/>
      <c r="Y21" s="37"/>
      <c r="Z21" s="32"/>
    </row>
    <row r="22" spans="1:26" s="33" customFormat="1" ht="11.25">
      <c r="A22" s="40"/>
      <c r="B22" s="35"/>
      <c r="C22" s="30" t="s">
        <v>165</v>
      </c>
      <c r="D22" s="39" t="s">
        <v>166</v>
      </c>
      <c r="E22" s="35"/>
      <c r="F22" s="35"/>
      <c r="G22" s="35"/>
      <c r="H22" s="35"/>
      <c r="I22" s="35"/>
      <c r="J22" s="35"/>
      <c r="K22" s="35"/>
      <c r="L22" s="35"/>
      <c r="O22" s="35" t="s">
        <v>167</v>
      </c>
      <c r="P22" s="35"/>
      <c r="Q22" s="37" t="s">
        <v>168</v>
      </c>
      <c r="R22" s="35" t="s">
        <v>169</v>
      </c>
      <c r="S22" s="35" t="s">
        <v>26</v>
      </c>
      <c r="T22" s="37"/>
      <c r="U22" s="37"/>
      <c r="V22" s="37"/>
      <c r="W22" s="37"/>
      <c r="X22" s="37"/>
      <c r="Y22" s="37"/>
      <c r="Z22" s="32"/>
    </row>
    <row r="23" spans="1:26" s="33" customFormat="1" ht="11.25">
      <c r="A23" s="41" t="s">
        <v>170</v>
      </c>
      <c r="B23" s="35"/>
      <c r="C23" s="30" t="s">
        <v>171</v>
      </c>
      <c r="D23" s="39" t="s">
        <v>172</v>
      </c>
      <c r="E23" s="35"/>
      <c r="F23" s="35"/>
      <c r="G23" s="35"/>
      <c r="H23" s="35"/>
      <c r="I23" s="35"/>
      <c r="J23" s="35"/>
      <c r="K23" s="35"/>
      <c r="L23" s="35"/>
      <c r="O23" s="35" t="s">
        <v>173</v>
      </c>
      <c r="P23" s="35"/>
      <c r="Q23" s="37" t="s">
        <v>174</v>
      </c>
      <c r="R23" s="35"/>
      <c r="S23" s="35" t="s">
        <v>96</v>
      </c>
      <c r="T23" s="37"/>
      <c r="U23" s="37"/>
      <c r="V23" s="37"/>
      <c r="W23" s="37"/>
      <c r="X23" s="37"/>
      <c r="Y23" s="37"/>
      <c r="Z23" s="32"/>
    </row>
    <row r="24" spans="1:26" s="33" customFormat="1" ht="11.25">
      <c r="A24" s="40"/>
      <c r="B24" s="35"/>
      <c r="C24" s="30" t="s">
        <v>175</v>
      </c>
      <c r="D24" s="35" t="s">
        <v>176</v>
      </c>
      <c r="E24" s="35"/>
      <c r="F24" s="35"/>
      <c r="G24" s="35"/>
      <c r="H24" s="35"/>
      <c r="I24" s="35"/>
      <c r="J24" s="35"/>
      <c r="K24" s="35"/>
      <c r="L24" s="35"/>
      <c r="O24" s="35" t="s">
        <v>177</v>
      </c>
      <c r="P24" s="35"/>
      <c r="Q24" s="37" t="s">
        <v>178</v>
      </c>
      <c r="R24" s="35"/>
      <c r="S24" s="35" t="s">
        <v>26</v>
      </c>
      <c r="T24" s="37"/>
      <c r="U24" s="37"/>
      <c r="V24" s="37"/>
      <c r="W24" s="37"/>
      <c r="X24" s="37"/>
      <c r="Y24" s="37"/>
      <c r="Z24" s="32"/>
    </row>
    <row r="25" spans="1:26" s="33" customFormat="1" ht="11.25">
      <c r="A25" s="40"/>
      <c r="B25" s="35"/>
      <c r="C25" s="30" t="s">
        <v>179</v>
      </c>
      <c r="D25" s="35" t="s">
        <v>180</v>
      </c>
      <c r="E25" s="35"/>
      <c r="F25" s="35"/>
      <c r="G25" s="35"/>
      <c r="H25" s="35"/>
      <c r="I25" s="35"/>
      <c r="J25" s="35"/>
      <c r="K25" s="35"/>
      <c r="L25" s="35"/>
      <c r="O25" s="35" t="s">
        <v>94</v>
      </c>
      <c r="P25" s="35"/>
      <c r="Q25" s="37" t="s">
        <v>181</v>
      </c>
      <c r="R25" s="35"/>
      <c r="S25" s="35" t="s">
        <v>26</v>
      </c>
      <c r="T25" s="37"/>
      <c r="U25" s="37"/>
      <c r="V25" s="37"/>
      <c r="W25" s="37"/>
      <c r="X25" s="37"/>
      <c r="Y25" s="37"/>
      <c r="Z25" s="32"/>
    </row>
    <row r="26" spans="2:26" s="33" customFormat="1" ht="11.25">
      <c r="B26" s="35"/>
      <c r="D26" s="35"/>
      <c r="E26" s="35"/>
      <c r="F26" s="35"/>
      <c r="G26" s="35"/>
      <c r="H26" s="35"/>
      <c r="I26" s="35"/>
      <c r="J26" s="35"/>
      <c r="K26" s="35"/>
      <c r="L26" s="35"/>
      <c r="O26" s="35"/>
      <c r="P26" s="35"/>
      <c r="Q26" s="37"/>
      <c r="R26" s="35"/>
      <c r="S26" s="35"/>
      <c r="T26" s="37"/>
      <c r="U26" s="37"/>
      <c r="V26" s="37"/>
      <c r="W26" s="37"/>
      <c r="X26" s="37"/>
      <c r="Y26" s="37"/>
      <c r="Z26" s="32"/>
    </row>
    <row r="27" spans="1:26" s="33" customFormat="1" ht="11.25">
      <c r="A27" s="42"/>
      <c r="B27" s="42" t="s">
        <v>182</v>
      </c>
      <c r="C27" s="3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30"/>
      <c r="T27" s="30"/>
      <c r="U27" s="30"/>
      <c r="V27" s="30"/>
      <c r="W27" s="30"/>
      <c r="X27" s="30"/>
      <c r="Y27" s="30"/>
      <c r="Z27" s="32"/>
    </row>
    <row r="28" spans="1:26" s="33" customFormat="1" ht="11.25">
      <c r="A28" s="42"/>
      <c r="B28" s="42" t="s">
        <v>183</v>
      </c>
      <c r="C28" s="3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30"/>
      <c r="T28" s="30"/>
      <c r="U28" s="30"/>
      <c r="V28" s="30"/>
      <c r="W28" s="30"/>
      <c r="X28" s="30"/>
      <c r="Y28" s="30"/>
      <c r="Z28" s="32"/>
    </row>
    <row r="29" spans="1:26" s="33" customFormat="1" ht="11.25">
      <c r="A29" s="42"/>
      <c r="B29" s="42" t="s">
        <v>184</v>
      </c>
      <c r="C29" s="3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30"/>
      <c r="T29" s="30"/>
      <c r="U29" s="30"/>
      <c r="V29" s="30"/>
      <c r="W29" s="30"/>
      <c r="X29" s="30"/>
      <c r="Y29" s="30"/>
      <c r="Z29" s="32"/>
    </row>
    <row r="30" spans="1:26" s="33" customFormat="1" ht="12" thickBot="1">
      <c r="A30" s="35"/>
      <c r="B30" s="35"/>
      <c r="C30" s="3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7"/>
      <c r="V30" s="37"/>
      <c r="W30" s="37"/>
      <c r="X30" s="37"/>
      <c r="Y30" s="37"/>
      <c r="Z30" s="32"/>
    </row>
    <row r="31" spans="1:26" s="33" customFormat="1" ht="12" thickBot="1">
      <c r="A31" s="44" t="s">
        <v>186</v>
      </c>
      <c r="B31" s="43" t="s">
        <v>185</v>
      </c>
      <c r="C31" s="43" t="s">
        <v>187</v>
      </c>
      <c r="D31" s="45">
        <v>1</v>
      </c>
      <c r="E31" s="46">
        <v>2</v>
      </c>
      <c r="F31" s="46">
        <v>3</v>
      </c>
      <c r="G31" s="46">
        <v>4</v>
      </c>
      <c r="H31" s="46">
        <v>5</v>
      </c>
      <c r="I31" s="46">
        <v>6</v>
      </c>
      <c r="J31" s="46">
        <v>7</v>
      </c>
      <c r="K31" s="46">
        <v>8</v>
      </c>
      <c r="L31" s="46">
        <v>9</v>
      </c>
      <c r="M31" s="46">
        <v>10</v>
      </c>
      <c r="N31" s="46">
        <v>11</v>
      </c>
      <c r="O31" s="46">
        <v>12</v>
      </c>
      <c r="P31" s="46">
        <v>13</v>
      </c>
      <c r="Q31" s="46">
        <v>14</v>
      </c>
      <c r="R31" s="46">
        <v>15</v>
      </c>
      <c r="S31" s="46">
        <v>16</v>
      </c>
      <c r="T31" s="46">
        <v>17</v>
      </c>
      <c r="U31" s="46">
        <v>18</v>
      </c>
      <c r="V31" s="46">
        <v>19</v>
      </c>
      <c r="W31" s="46">
        <v>20</v>
      </c>
      <c r="X31" s="46">
        <v>21</v>
      </c>
      <c r="Y31" s="47">
        <v>22</v>
      </c>
      <c r="Z31" s="43" t="s">
        <v>188</v>
      </c>
    </row>
    <row r="32" spans="1:26" s="33" customFormat="1" ht="12" thickBot="1">
      <c r="A32" s="49" t="s">
        <v>189</v>
      </c>
      <c r="B32" s="48" t="s">
        <v>88</v>
      </c>
      <c r="C32" s="50">
        <v>1992</v>
      </c>
      <c r="D32" s="51">
        <f>ROUND(840661/(20*60+24),1)</f>
        <v>686.8</v>
      </c>
      <c r="E32" s="52">
        <v>0</v>
      </c>
      <c r="F32" s="53">
        <f>ROUND(1246898/(28*60+36),1)</f>
        <v>726.6</v>
      </c>
      <c r="G32" s="54">
        <f>ROUND(1618380/(39*60+1),1)</f>
        <v>691.3</v>
      </c>
      <c r="H32" s="55">
        <v>0</v>
      </c>
      <c r="I32" s="56">
        <f>ROUND(1699299/(37*60+17),1)</f>
        <v>759.6</v>
      </c>
      <c r="J32" s="55">
        <v>0</v>
      </c>
      <c r="K32" s="57">
        <f>ROUND(1119011/(23*60+54),1)</f>
        <v>780.3</v>
      </c>
      <c r="L32" s="56">
        <f>ROUND(902932/(20*60+31),1)</f>
        <v>733.5</v>
      </c>
      <c r="M32" s="52">
        <v>0</v>
      </c>
      <c r="N32" s="57">
        <f>ROUND(16580000/21224,1)</f>
        <v>781.2</v>
      </c>
      <c r="O32" s="56">
        <f>ROUND(448960/(9*60+3.1),1)</f>
        <v>826.7</v>
      </c>
      <c r="P32" s="56">
        <f>ROUND(778390/(16*60+19),1)</f>
        <v>795.1</v>
      </c>
      <c r="Q32" s="57">
        <f>ROUND(498569/(10*60+40),1)</f>
        <v>779</v>
      </c>
      <c r="R32" s="56">
        <f>ROUND(448960/(8*60+45),1)</f>
        <v>855.2</v>
      </c>
      <c r="S32" s="55">
        <v>0</v>
      </c>
      <c r="T32" s="55">
        <v>0</v>
      </c>
      <c r="U32" s="56">
        <f>ROUND(1278870/(26*60+59),1)</f>
        <v>789.9</v>
      </c>
      <c r="V32" s="57">
        <f>ROUND(3380000/(72*60+58),1)</f>
        <v>772</v>
      </c>
      <c r="W32" s="52">
        <v>0</v>
      </c>
      <c r="X32" s="56">
        <f>ROUND(486180/(10*60+0),1)</f>
        <v>810.3</v>
      </c>
      <c r="Y32" s="58">
        <f>ROUND(778390/(16*60+56),1)</f>
        <v>766.1</v>
      </c>
      <c r="Z32" s="59">
        <f>SUM(D32:Y32)-SUM(D32,E32,H32,J32,M32,S32,T32)</f>
        <v>10866.8</v>
      </c>
    </row>
    <row r="33" spans="1:26" s="33" customFormat="1" ht="12" thickBot="1">
      <c r="A33" s="49" t="s">
        <v>68</v>
      </c>
      <c r="B33" s="48" t="s">
        <v>92</v>
      </c>
      <c r="C33" s="50">
        <v>1964</v>
      </c>
      <c r="D33" s="60">
        <f>ROUND(941285/(22*60+23),1)</f>
        <v>700.9</v>
      </c>
      <c r="E33" s="52">
        <f>ROUND(871560/(21*60+21),1)</f>
        <v>680.4</v>
      </c>
      <c r="F33" s="53">
        <f>ROUND(1391003/(31*60+20),1)</f>
        <v>739.9</v>
      </c>
      <c r="G33" s="61">
        <f>ROUND(1802200/(42*60+17),1)</f>
        <v>710.4</v>
      </c>
      <c r="H33" s="62">
        <f>ROUND(784404/(18*60+0),1)</f>
        <v>726.3</v>
      </c>
      <c r="I33" s="52">
        <v>0</v>
      </c>
      <c r="J33" s="61">
        <f>ROUND(1649013/(44*60+54),1)</f>
        <v>612.1</v>
      </c>
      <c r="K33" s="57">
        <f>ROUND(1248336/(27*60+3),1)</f>
        <v>769.2</v>
      </c>
      <c r="L33" s="56">
        <f>ROUND(1011010/(22*60+45),1)</f>
        <v>740.7</v>
      </c>
      <c r="M33" s="57">
        <f>ROUND(1177003/(26*60+12),1)</f>
        <v>748.7</v>
      </c>
      <c r="N33" s="57">
        <f>ROUND(15246000/19208,1)</f>
        <v>793.7</v>
      </c>
      <c r="O33" s="56">
        <f>ROUND(505410/(10*60+51.7),1)</f>
        <v>775.5</v>
      </c>
      <c r="P33" s="52">
        <v>0</v>
      </c>
      <c r="Q33" s="57">
        <f>ROUND(560754/(12*60+21),1)</f>
        <v>756.8</v>
      </c>
      <c r="R33" s="56">
        <f>ROUND(505410/(10*60+0),1)</f>
        <v>842.4</v>
      </c>
      <c r="S33" s="54">
        <f>ROUND(1712090/(36*60+0),1)</f>
        <v>792.6</v>
      </c>
      <c r="T33" s="57">
        <f>ROUND(1494437/(33*60+40),1)</f>
        <v>739.8</v>
      </c>
      <c r="U33" s="56">
        <f>ROUND(1426670/(30*60+37),1)</f>
        <v>776.6</v>
      </c>
      <c r="V33" s="56">
        <f>ROUND(3737280/(80*60+37),1)</f>
        <v>772.6</v>
      </c>
      <c r="W33" s="52">
        <v>0</v>
      </c>
      <c r="X33" s="56">
        <f>ROUND(546820/(12*60+2),1)</f>
        <v>757.4</v>
      </c>
      <c r="Y33" s="58">
        <f>ROUND(871560/(19*60+52),1)</f>
        <v>731.2</v>
      </c>
      <c r="Z33" s="59">
        <f>SUM(D33:Y33)-SUM(D33,E33,G33,H33,I33,J33,P33)</f>
        <v>10737.099999999999</v>
      </c>
    </row>
    <row r="34" spans="1:26" s="33" customFormat="1" ht="12" thickBot="1">
      <c r="A34" s="49" t="s">
        <v>33</v>
      </c>
      <c r="B34" s="48" t="s">
        <v>97</v>
      </c>
      <c r="C34" s="63">
        <v>1962</v>
      </c>
      <c r="D34" s="51">
        <f>ROUND(980932/(25*60+8),1)</f>
        <v>650.5</v>
      </c>
      <c r="E34" s="52">
        <f>ROUND(908270/(23*60+40),1)</f>
        <v>639.6</v>
      </c>
      <c r="F34" s="64">
        <f>ROUND(1449718/(35*60+50),1)</f>
        <v>674.3</v>
      </c>
      <c r="G34" s="61">
        <f>ROUND(1878340/(48*60+23),1)</f>
        <v>647</v>
      </c>
      <c r="H34" s="54">
        <f>ROUND(817443/(19*60+46),1)</f>
        <v>689.2</v>
      </c>
      <c r="I34" s="57">
        <f>ROUND(1972257/(45*60+43),1)</f>
        <v>719</v>
      </c>
      <c r="J34" s="55">
        <v>0</v>
      </c>
      <c r="K34" s="57">
        <f>ROUND(1301029/(30*60+21),1)</f>
        <v>714.5</v>
      </c>
      <c r="L34" s="56">
        <f>ROUND(1053593/(24*60+54),1)</f>
        <v>705.2</v>
      </c>
      <c r="M34" s="55">
        <v>0</v>
      </c>
      <c r="N34" s="57">
        <f>ROUND(13808000/18433,1)</f>
        <v>749.1</v>
      </c>
      <c r="O34" s="56">
        <f>ROUND(526760/(11*60+46.7),1)</f>
        <v>745.4</v>
      </c>
      <c r="P34" s="56">
        <f>ROUND(908270/(20*60+38),1)</f>
        <v>733.7</v>
      </c>
      <c r="Q34" s="57">
        <f>ROUND(584422/(13*60+34),1)</f>
        <v>718</v>
      </c>
      <c r="R34" s="56">
        <f>ROUND(526760/(10*60+59),1)</f>
        <v>799.3</v>
      </c>
      <c r="S34" s="54">
        <f>ROUND(1784423/(41*60+51),1)</f>
        <v>710.6</v>
      </c>
      <c r="T34" s="57">
        <f>ROUND(1557517/(37*60+4),1)</f>
        <v>700.3</v>
      </c>
      <c r="U34" s="57">
        <f>ROUND(1486890/(33*60+27),1)</f>
        <v>740.9</v>
      </c>
      <c r="V34" s="52">
        <v>0</v>
      </c>
      <c r="W34" s="52">
        <v>0</v>
      </c>
      <c r="X34" s="56">
        <f>ROUND(569900/(12*60+49),1)</f>
        <v>741.1</v>
      </c>
      <c r="Y34" s="65">
        <f>ROUND(908270/(21*60+33),1)</f>
        <v>702.5</v>
      </c>
      <c r="Z34" s="59">
        <f>SUM(D34:Y34)-SUM(D34,E34,F34,G34,J34,M34,V34)</f>
        <v>10168.8</v>
      </c>
    </row>
    <row r="35" spans="1:26" s="33" customFormat="1" ht="12" thickBot="1">
      <c r="A35" s="49" t="s">
        <v>83</v>
      </c>
      <c r="B35" s="48" t="s">
        <v>101</v>
      </c>
      <c r="C35" s="50">
        <v>1970</v>
      </c>
      <c r="D35" s="60">
        <f>ROUND(905785/(24*60+18),1)</f>
        <v>621.3</v>
      </c>
      <c r="E35" s="52">
        <v>0</v>
      </c>
      <c r="F35" s="52">
        <v>0</v>
      </c>
      <c r="G35" s="54">
        <f>ROUND(1734040/(44*60+38),1)</f>
        <v>647.5</v>
      </c>
      <c r="H35" s="57">
        <f>ROUND(754821/(18*60+8),1)</f>
        <v>693.8</v>
      </c>
      <c r="I35" s="53">
        <f>ROUND(1820742/(44*60+6),1)</f>
        <v>688.1</v>
      </c>
      <c r="J35" s="61">
        <f>ROUND(1586647/(43*60+13),1)</f>
        <v>611.9</v>
      </c>
      <c r="K35" s="57">
        <f>ROUND(1201174/(27*60+15),1)</f>
        <v>734.7</v>
      </c>
      <c r="L35" s="56">
        <f>ROUND(972880/(23*60+29),1)</f>
        <v>690.5</v>
      </c>
      <c r="M35" s="57">
        <f>ROUND(1132535/(26*60+42),1)</f>
        <v>707</v>
      </c>
      <c r="N35" s="55">
        <v>0</v>
      </c>
      <c r="O35" s="56">
        <f>ROUND(486310/(11*60+18.9),1)</f>
        <v>716.3</v>
      </c>
      <c r="P35" s="56">
        <f>ROUND(838690/(19*60+5),1)</f>
        <v>732.5</v>
      </c>
      <c r="Q35" s="55">
        <v>0</v>
      </c>
      <c r="R35" s="56">
        <f>ROUND(486310/(10*60+24),1)</f>
        <v>779.3</v>
      </c>
      <c r="S35" s="54">
        <f>ROUND(1647338/(37*60+37),1)</f>
        <v>729.9</v>
      </c>
      <c r="T35" s="54">
        <f>ROUND(1437977/(35*60+21),1)</f>
        <v>678</v>
      </c>
      <c r="U35" s="57">
        <f>ROUND(1372770/(32*60+19),1)</f>
        <v>708</v>
      </c>
      <c r="V35" s="64">
        <f>ROUND(3596510/(89*60+43),1)</f>
        <v>668.1</v>
      </c>
      <c r="W35" s="52">
        <v>0</v>
      </c>
      <c r="X35" s="56">
        <f>ROUND(526170/(11*60+55),1)</f>
        <v>735.9</v>
      </c>
      <c r="Y35" s="58">
        <f>ROUND(838690/(19*60+59),1)</f>
        <v>699.5</v>
      </c>
      <c r="Z35" s="59">
        <f>SUM(D35:Y35)-SUM(D35,E35,F35,J35,N35,Q35,V35)</f>
        <v>9941.000000000002</v>
      </c>
    </row>
    <row r="36" spans="1:26" s="33" customFormat="1" ht="12" thickBot="1">
      <c r="A36" s="49" t="s">
        <v>24</v>
      </c>
      <c r="B36" s="48" t="s">
        <v>105</v>
      </c>
      <c r="C36" s="50">
        <v>1972</v>
      </c>
      <c r="D36" s="60">
        <f>ROUND(905785/(23*60+28),1)</f>
        <v>643.3</v>
      </c>
      <c r="E36" s="52">
        <f>ROUND(838690/(22*60+12),1)</f>
        <v>629.6</v>
      </c>
      <c r="F36" s="53">
        <f>ROUND(1338451/(33*60+21),1)</f>
        <v>668.9</v>
      </c>
      <c r="G36" s="61">
        <f>ROUND(1734040/(45*60+53),1)</f>
        <v>629.9</v>
      </c>
      <c r="H36" s="54">
        <f>ROUND(754821/(19*60+0),1)</f>
        <v>662.1</v>
      </c>
      <c r="I36" s="56">
        <f>ROUND(1820742/(44*60+0),1)</f>
        <v>689.7</v>
      </c>
      <c r="J36" s="61">
        <f>ROUND(1586647/(47*60+15),1)</f>
        <v>559.7</v>
      </c>
      <c r="K36" s="57">
        <f>ROUND(1201174/(28*60+40),1)</f>
        <v>698.4</v>
      </c>
      <c r="L36" s="53">
        <f>ROUND(972880/(23*60+45),1)</f>
        <v>682.7</v>
      </c>
      <c r="M36" s="57">
        <f>ROUND(1132535/(27*60+21),1)</f>
        <v>690.1</v>
      </c>
      <c r="N36" s="57">
        <f>ROUND(13858000/19959,1)</f>
        <v>694.3</v>
      </c>
      <c r="O36" s="56">
        <f>ROUND(486310/(10*60+53.9),1)</f>
        <v>743.7</v>
      </c>
      <c r="P36" s="56">
        <f>ROUND(838690/(19*60+41),1)</f>
        <v>710.2</v>
      </c>
      <c r="Q36" s="57">
        <f>ROUND(539578/(12*60+54),1)</f>
        <v>697.1</v>
      </c>
      <c r="R36" s="56">
        <f>ROUND(486310/(10*60+16),1)</f>
        <v>789.5</v>
      </c>
      <c r="S36" s="54">
        <f>ROUND(1647338/(38*60+0),1)</f>
        <v>722.5</v>
      </c>
      <c r="T36" s="66">
        <f>ROUND(1437977/(36*60+18),1)</f>
        <v>660.2</v>
      </c>
      <c r="U36" s="52">
        <f>ROUND(1372770/(35*60+44),1)</f>
        <v>640.3</v>
      </c>
      <c r="V36" s="52">
        <v>0</v>
      </c>
      <c r="W36" s="52">
        <v>0</v>
      </c>
      <c r="X36" s="56">
        <f>ROUND(526170/(12*60+41),1)</f>
        <v>691.4</v>
      </c>
      <c r="Y36" s="67">
        <f>ROUND(838690/(21*60+23),1)</f>
        <v>653.7</v>
      </c>
      <c r="Z36" s="59">
        <f>SUM(D36:Y36)-SUM(D36,E36,G36,J36,U36,V36,Y36)</f>
        <v>9800.800000000001</v>
      </c>
    </row>
    <row r="37" spans="1:26" s="35" customFormat="1" ht="12" thickBot="1">
      <c r="A37" s="49" t="s">
        <v>44</v>
      </c>
      <c r="B37" s="48" t="s">
        <v>109</v>
      </c>
      <c r="C37" s="50">
        <v>1978</v>
      </c>
      <c r="D37" s="60">
        <v>0</v>
      </c>
      <c r="E37" s="52">
        <v>0</v>
      </c>
      <c r="F37" s="52">
        <f>ROUND(1290647/(35*60+20),1)</f>
        <v>608.8</v>
      </c>
      <c r="G37" s="62">
        <f>ROUND(1672050/(45*60+34),1)</f>
        <v>611.6</v>
      </c>
      <c r="H37" s="54">
        <f>ROUND(727920/(18*60+50),1)</f>
        <v>644.2</v>
      </c>
      <c r="I37" s="57">
        <f>ROUND(1755653/(43*60+48),1)</f>
        <v>668.1</v>
      </c>
      <c r="J37" s="61">
        <f>ROUND(1529926/(43*60+25),1)</f>
        <v>587.3</v>
      </c>
      <c r="K37" s="57">
        <f>ROUND(1158273/(27*60+0),1)</f>
        <v>715</v>
      </c>
      <c r="L37" s="56">
        <f>ROUND(938208/(22*60+47),1)</f>
        <v>686.3</v>
      </c>
      <c r="M37" s="52">
        <v>0</v>
      </c>
      <c r="N37" s="57">
        <f>ROUND(14488000/20695,1)</f>
        <v>700.1</v>
      </c>
      <c r="O37" s="56">
        <f>ROUND(468940/(10*60+45.3),1)</f>
        <v>726.7</v>
      </c>
      <c r="P37" s="56">
        <f>ROUND(808800/(18*60+47),1)</f>
        <v>717.7</v>
      </c>
      <c r="Q37" s="57">
        <f>ROUND(520319/(12*60+26),1)</f>
        <v>697.5</v>
      </c>
      <c r="R37" s="56">
        <f>ROUND(468940/(10*60+10),1)</f>
        <v>768.8</v>
      </c>
      <c r="S37" s="54">
        <f>ROUND(1588448/(37*60+40),1)</f>
        <v>702.9</v>
      </c>
      <c r="T37" s="55">
        <v>0</v>
      </c>
      <c r="U37" s="56">
        <f>ROUND(1323740/(31*60+50),1)</f>
        <v>693.1</v>
      </c>
      <c r="V37" s="56">
        <f>ROUND(3468450/(86*60+24),1)</f>
        <v>669.1</v>
      </c>
      <c r="W37" s="52">
        <v>0</v>
      </c>
      <c r="X37" s="56">
        <f>ROUND(507390/(12*60+20),1)</f>
        <v>685.7</v>
      </c>
      <c r="Y37" s="58">
        <f>ROUND(808800/(20*60+44),1)</f>
        <v>650.2</v>
      </c>
      <c r="Z37" s="59">
        <f>SUM(D37:Y37)-SUM(D37,E37,F37,G37,J37,M37,T37)</f>
        <v>9725.400000000001</v>
      </c>
    </row>
    <row r="38" spans="1:26" s="35" customFormat="1" ht="12" thickBot="1">
      <c r="A38" s="49" t="s">
        <v>190</v>
      </c>
      <c r="B38" s="48" t="s">
        <v>113</v>
      </c>
      <c r="C38" s="63">
        <v>1958</v>
      </c>
      <c r="D38" s="60">
        <f>ROUND(1026076/(28*60+13),1)</f>
        <v>606.1</v>
      </c>
      <c r="E38" s="52">
        <f>ROUND(950070/(25*60+50),1)</f>
        <v>612.9</v>
      </c>
      <c r="F38" s="56">
        <f>ROUND(1516535/(39*60+29),1)</f>
        <v>640.2</v>
      </c>
      <c r="G38" s="61">
        <f>ROUND(1965010/(52*60+13),1)</f>
        <v>627.2</v>
      </c>
      <c r="H38" s="62">
        <f>ROUND(855063/(22*60+28),1)</f>
        <v>634.3</v>
      </c>
      <c r="I38" s="56">
        <f>ROUND(2063261/(51*60+40),1)</f>
        <v>665.6</v>
      </c>
      <c r="J38" s="55">
        <v>0</v>
      </c>
      <c r="K38" s="55">
        <v>0</v>
      </c>
      <c r="L38" s="52">
        <v>0</v>
      </c>
      <c r="M38" s="57">
        <f>ROUND(1283222/(32*60+48),1)</f>
        <v>652</v>
      </c>
      <c r="N38" s="57">
        <f>ROUND(12212000/17624,1)</f>
        <v>692.9</v>
      </c>
      <c r="O38" s="56">
        <f>ROUND(551070/(13*60+6.2),1)</f>
        <v>700.9</v>
      </c>
      <c r="P38" s="56">
        <f>ROUND(950070/(23*60+14),1)</f>
        <v>681.5</v>
      </c>
      <c r="Q38" s="57">
        <f>ROUND(611361/(15*60+5),1)</f>
        <v>675.5</v>
      </c>
      <c r="R38" s="56">
        <f>ROUND(551070/(11*60+53),1)</f>
        <v>772.9</v>
      </c>
      <c r="S38" s="54">
        <f>ROUND(1866760/(43*60+45),1)</f>
        <v>711.1</v>
      </c>
      <c r="T38" s="57">
        <f>ROUND(1629302/(41*60+59),1)</f>
        <v>646.8</v>
      </c>
      <c r="U38" s="57">
        <f>ROUND(1555420/(38*60+7),1)</f>
        <v>680.1</v>
      </c>
      <c r="V38" s="56">
        <f>ROUND(4073270/(102*60+44),1)</f>
        <v>660.8</v>
      </c>
      <c r="W38" s="52">
        <v>0</v>
      </c>
      <c r="X38" s="56">
        <f>ROUND(596170/(14*60+23),1)</f>
        <v>690.8</v>
      </c>
      <c r="Y38" s="58">
        <f>ROUND(950070/(24*60+21),1)</f>
        <v>650.3</v>
      </c>
      <c r="Z38" s="59">
        <f>SUM(D38:Y38)-SUM(D38,E38,G38,H38,J38,K38,L38)</f>
        <v>9521.399999999996</v>
      </c>
    </row>
    <row r="39" spans="1:26" s="35" customFormat="1" ht="12" thickBot="1">
      <c r="A39" s="49" t="s">
        <v>60</v>
      </c>
      <c r="B39" s="48" t="s">
        <v>118</v>
      </c>
      <c r="C39" s="63">
        <v>1961</v>
      </c>
      <c r="D39" s="60">
        <f>ROUND(980932/(26*60+50),1)</f>
        <v>609.3</v>
      </c>
      <c r="E39" s="52">
        <f>ROUND(908270/(24*60+56),1)</f>
        <v>607.1</v>
      </c>
      <c r="F39" s="64">
        <f>ROUND(1449718/(38*60+38),1)</f>
        <v>625.4</v>
      </c>
      <c r="G39" s="61">
        <f>ROUND(1878340/(51*60+56),1)</f>
        <v>602.8</v>
      </c>
      <c r="H39" s="54">
        <f>ROUND(817443/(21*60+18),1)</f>
        <v>639.6</v>
      </c>
      <c r="I39" s="56">
        <f>ROUND(1972257/(49*60+55),1)</f>
        <v>658.5</v>
      </c>
      <c r="J39" s="61">
        <f>ROUND(1718681/(53*60+17),1)</f>
        <v>537.6</v>
      </c>
      <c r="K39" s="57">
        <f>ROUND(1301029/(31*60+47),1)</f>
        <v>682.2</v>
      </c>
      <c r="L39" s="53">
        <f>ROUND(1053593/(26*60+52),1)</f>
        <v>653.6</v>
      </c>
      <c r="M39" s="57">
        <f>ROUND(1226684/(30*60+9),1)</f>
        <v>678.1</v>
      </c>
      <c r="N39" s="57">
        <f>ROUND(13095000/18433,1)</f>
        <v>710.4</v>
      </c>
      <c r="O39" s="56">
        <f>ROUND(526760/(12*60+15.8),1)</f>
        <v>715.9</v>
      </c>
      <c r="P39" s="56">
        <f>ROUND(908270/(21*60+40),1)</f>
        <v>698.7</v>
      </c>
      <c r="Q39" s="57">
        <f>ROUND(584422/(14*60+32),1)</f>
        <v>670.2</v>
      </c>
      <c r="R39" s="52">
        <v>0</v>
      </c>
      <c r="S39" s="54">
        <f>ROUND(1784423/(43*60+16),1)</f>
        <v>687.4</v>
      </c>
      <c r="T39" s="57">
        <f>ROUND(1557517/(40*60+12),1)</f>
        <v>645.7</v>
      </c>
      <c r="U39" s="57">
        <f>ROUND(1486890/(35*60+52),1)</f>
        <v>690.9</v>
      </c>
      <c r="V39" s="52">
        <v>0</v>
      </c>
      <c r="W39" s="52">
        <v>0</v>
      </c>
      <c r="X39" s="56">
        <f>ROUND(569900/(13*60+55),1)</f>
        <v>682.5</v>
      </c>
      <c r="Y39" s="58">
        <f>ROUND(908270/(24*60+0),1)</f>
        <v>630.7</v>
      </c>
      <c r="Z39" s="59">
        <f>SUM(D39:Y39)-SUM(D39,E39,F39,G39,J39,R39,V39)</f>
        <v>9444.400000000001</v>
      </c>
    </row>
    <row r="40" spans="1:26" s="35" customFormat="1" ht="12" thickBot="1">
      <c r="A40" s="68" t="s">
        <v>52</v>
      </c>
      <c r="B40" s="48" t="s">
        <v>122</v>
      </c>
      <c r="C40" s="69">
        <v>1980</v>
      </c>
      <c r="D40" s="60">
        <v>0</v>
      </c>
      <c r="E40" s="52">
        <f>ROUND(781280/(22*60+23),1)</f>
        <v>581.7</v>
      </c>
      <c r="F40" s="53">
        <f>ROUND(1246645/(32*60+54),1)</f>
        <v>631.5</v>
      </c>
      <c r="G40" s="62">
        <f>ROUND(1614990/(44*60+34),1)</f>
        <v>604</v>
      </c>
      <c r="H40" s="54">
        <f>ROUND(703152/(19*60+1),1)</f>
        <v>616.3</v>
      </c>
      <c r="I40" s="56">
        <f>ROUND(1695740/(42*60+46),1)</f>
        <v>660.8</v>
      </c>
      <c r="J40" s="61">
        <f>ROUND(1477716/(42*60+41),1)</f>
        <v>577</v>
      </c>
      <c r="K40" s="57">
        <f>ROUND(1118784/(27*60+20),1)</f>
        <v>682.2</v>
      </c>
      <c r="L40" s="56">
        <f>ROUND(906285/(22*60+46),1)</f>
        <v>663.5</v>
      </c>
      <c r="M40" s="54">
        <f>ROUND(1054853/(26*60+53),1)</f>
        <v>654</v>
      </c>
      <c r="N40" s="57">
        <f>ROUND(14263000/21423,1)</f>
        <v>665.8</v>
      </c>
      <c r="O40" s="56">
        <f>ROUND(452950/(10*60+49.3),1)</f>
        <v>697.6</v>
      </c>
      <c r="P40" s="56">
        <f>ROUND(781280/(18*60+43),1)</f>
        <v>695.7</v>
      </c>
      <c r="Q40" s="57">
        <f>ROUND(502589/(12*60+44),1)</f>
        <v>657.8</v>
      </c>
      <c r="R40" s="52">
        <v>0</v>
      </c>
      <c r="S40" s="54">
        <f>ROUND(1534241/(36*60+44),1)</f>
        <v>696.1</v>
      </c>
      <c r="T40" s="55">
        <v>0</v>
      </c>
      <c r="U40" s="52">
        <v>0</v>
      </c>
      <c r="V40" s="57">
        <f>ROUND(3350520/(82*60+37),1)</f>
        <v>675.9</v>
      </c>
      <c r="W40" s="52">
        <v>0</v>
      </c>
      <c r="X40" s="56">
        <f>ROUND(490100/(11*60+46),1)</f>
        <v>694.2</v>
      </c>
      <c r="Y40" s="58">
        <f>ROUND(781280/(20*60+8),1)</f>
        <v>646.8</v>
      </c>
      <c r="Z40" s="59">
        <f>SUM(D40:Y40)-SUM(D40,E40,G40,J40,R40,T40,U40)</f>
        <v>9338.199999999999</v>
      </c>
    </row>
    <row r="41" spans="1:26" s="35" customFormat="1" ht="12" thickBot="1">
      <c r="A41" s="70" t="s">
        <v>72</v>
      </c>
      <c r="B41" s="48" t="s">
        <v>126</v>
      </c>
      <c r="C41" s="50">
        <v>1990</v>
      </c>
      <c r="D41" s="71">
        <f>ROUND(840661/(22*60+10),1)</f>
        <v>632.1</v>
      </c>
      <c r="E41" s="52">
        <f>ROUND(778390/(21*60+5),1)</f>
        <v>615.3</v>
      </c>
      <c r="F41" s="56">
        <f>ROUND(1246898/(31*60+0),1)</f>
        <v>670.4</v>
      </c>
      <c r="G41" s="62">
        <f>ROUND(1618380/(43*60+36),1)</f>
        <v>618.6</v>
      </c>
      <c r="H41" s="57">
        <f>ROUND(700551/(17*60+23),1)</f>
        <v>671.7</v>
      </c>
      <c r="I41" s="56">
        <f>ROUND(1699299/(42*60+17),1)</f>
        <v>669.8</v>
      </c>
      <c r="J41" s="61">
        <f>ROUND(1480818/(45*60+33),1)</f>
        <v>541.8</v>
      </c>
      <c r="K41" s="57">
        <f>ROUND(1119011/(26*60+56),1)</f>
        <v>692.5</v>
      </c>
      <c r="L41" s="54">
        <f>ROUND(902932/(23*60+20),1)</f>
        <v>645</v>
      </c>
      <c r="M41" s="53">
        <f>ROUND(1055068/(27*60+44),1)</f>
        <v>634.1</v>
      </c>
      <c r="N41" s="55">
        <v>0</v>
      </c>
      <c r="O41" s="56">
        <f>ROUND(448960/(11*60+7.9),1)</f>
        <v>672.2</v>
      </c>
      <c r="P41" s="56">
        <f>ROUND(778390/(19*60+0),1)</f>
        <v>682.8</v>
      </c>
      <c r="Q41" s="57">
        <f>ROUND(498569/(12*60+37),1)</f>
        <v>658.6</v>
      </c>
      <c r="R41" s="56">
        <f>ROUND(448960/(9*60+58),1)</f>
        <v>750.8</v>
      </c>
      <c r="S41" s="61">
        <f>ROUND(1537461/(43*60+39),1)</f>
        <v>587</v>
      </c>
      <c r="T41" s="55">
        <v>0</v>
      </c>
      <c r="U41" s="56">
        <f>ROUND(1278870/(31*60+36),1)</f>
        <v>674.5</v>
      </c>
      <c r="V41" s="52">
        <v>0</v>
      </c>
      <c r="W41" s="52">
        <v>0</v>
      </c>
      <c r="X41" s="56">
        <f>ROUND(486180/(12*60+29),1)</f>
        <v>649.1</v>
      </c>
      <c r="Y41" s="58">
        <f>ROUND(778390/(20*60+32),1)</f>
        <v>631.8</v>
      </c>
      <c r="Z41" s="59">
        <f>SUM(D41:Y41)-SUM(E41,G41,J41,N41,S41,T41,V41)</f>
        <v>9335.400000000001</v>
      </c>
    </row>
    <row r="42" spans="1:26" s="33" customFormat="1" ht="12" thickBot="1">
      <c r="A42" s="49" t="s">
        <v>42</v>
      </c>
      <c r="B42" s="48" t="s">
        <v>131</v>
      </c>
      <c r="C42" s="50">
        <v>2001</v>
      </c>
      <c r="D42" s="72">
        <f>ROUND(840661/(23*60+56),1)</f>
        <v>585.4</v>
      </c>
      <c r="E42" s="52">
        <v>0</v>
      </c>
      <c r="F42" s="52">
        <v>0</v>
      </c>
      <c r="G42" s="57">
        <f>ROUND(1618380/(44*60+54),1)</f>
        <v>600.7</v>
      </c>
      <c r="H42" s="57">
        <f>ROUND(700551/(17*60+53),1)</f>
        <v>652.9</v>
      </c>
      <c r="I42" s="52">
        <v>0</v>
      </c>
      <c r="J42" s="55">
        <v>0</v>
      </c>
      <c r="K42" s="55">
        <v>0</v>
      </c>
      <c r="L42" s="56">
        <f>ROUND(902932/(24*60+19),1)</f>
        <v>618.9</v>
      </c>
      <c r="M42" s="52">
        <v>0</v>
      </c>
      <c r="N42" s="55">
        <v>0</v>
      </c>
      <c r="O42" s="56">
        <f>ROUND(448960/(10*60+15.4),1)</f>
        <v>729.5</v>
      </c>
      <c r="P42" s="57">
        <f>ROUND(778390/(19*60+8),1)</f>
        <v>678</v>
      </c>
      <c r="Q42" s="57">
        <f>ROUND(498569/(12*60+13),1)</f>
        <v>680.2</v>
      </c>
      <c r="R42" s="56">
        <f>ROUND(448960/(9*60+52),1)</f>
        <v>758.4</v>
      </c>
      <c r="S42" s="57">
        <f>ROUND(1537461/(36*60+30),1)</f>
        <v>702</v>
      </c>
      <c r="T42" s="57">
        <f>ROUND(1339616/(35*60+10),1)</f>
        <v>634.9</v>
      </c>
      <c r="U42" s="56">
        <f>ROUND(1278870/(32*60+26),1)</f>
        <v>657.2</v>
      </c>
      <c r="V42" s="56">
        <f>ROUND(3380000/(88*60+42),1)</f>
        <v>635.1</v>
      </c>
      <c r="W42" s="52">
        <v>0</v>
      </c>
      <c r="X42" s="56">
        <f>ROUND(486180/(11*60+33),1)</f>
        <v>701.6</v>
      </c>
      <c r="Y42" s="58">
        <f>ROUND(778390/(20*60+17),1)</f>
        <v>639.6</v>
      </c>
      <c r="Z42" s="59">
        <f>SUM(D42:Y42)-SUM(E42,F42,I42,J42,K42,M42,N42)</f>
        <v>9274.4</v>
      </c>
    </row>
    <row r="43" spans="1:26" s="33" customFormat="1" ht="12" thickBot="1">
      <c r="A43" s="49" t="s">
        <v>69</v>
      </c>
      <c r="B43" s="48" t="s">
        <v>135</v>
      </c>
      <c r="C43" s="50">
        <v>1994</v>
      </c>
      <c r="D43" s="71">
        <f>ROUND(932785/(24*60+56),1)</f>
        <v>623.5</v>
      </c>
      <c r="E43" s="53">
        <f>ROUND(863690/(23*60+7),1)</f>
        <v>622.7</v>
      </c>
      <c r="F43" s="56">
        <f>ROUND(1383525/(34*60+58),1)</f>
        <v>659.4</v>
      </c>
      <c r="G43" s="55">
        <v>0</v>
      </c>
      <c r="H43" s="55">
        <v>0</v>
      </c>
      <c r="I43" s="56">
        <f>ROUND(1884750/(47*60+55),1)</f>
        <v>655.6</v>
      </c>
      <c r="J43" s="54">
        <f>ROUND(1642425/(49*60+49),1)</f>
        <v>549.5</v>
      </c>
      <c r="K43" s="57">
        <f>ROUND(1241625/(29*60+47),1)</f>
        <v>694.8</v>
      </c>
      <c r="L43" s="52">
        <v>0</v>
      </c>
      <c r="M43" s="55">
        <v>0</v>
      </c>
      <c r="N43" s="57">
        <f>ROUND(13806000/19240,1)</f>
        <v>717.6</v>
      </c>
      <c r="O43" s="52">
        <v>0</v>
      </c>
      <c r="P43" s="56">
        <f>ROUND(863690/(21*60+30),1)</f>
        <v>669.5</v>
      </c>
      <c r="Q43" s="55">
        <v>0</v>
      </c>
      <c r="R43" s="52">
        <v>0</v>
      </c>
      <c r="S43" s="57">
        <f>ROUND(1705250/(42*60+39),1)</f>
        <v>666.4</v>
      </c>
      <c r="T43" s="57">
        <f>ROUND(1486403/(38*60+36),1)</f>
        <v>641.8</v>
      </c>
      <c r="U43" s="56">
        <f>ROUND(1419000/(35*60+33),1)</f>
        <v>665.3</v>
      </c>
      <c r="V43" s="56">
        <f>ROUND(3730000/(91*60+10),1)</f>
        <v>681.9</v>
      </c>
      <c r="W43" s="52">
        <v>0</v>
      </c>
      <c r="X43" s="56">
        <f>ROUND(538910/(12*60+53),1)</f>
        <v>697.2</v>
      </c>
      <c r="Y43" s="58">
        <f>ROUND(863690/(23*60+25),1)</f>
        <v>614.7</v>
      </c>
      <c r="Z43" s="59">
        <f>SUM(D43:Y43)-SUM(G43,H43,L43,M43,O43,Q43,R43)</f>
        <v>9159.900000000001</v>
      </c>
    </row>
    <row r="44" spans="1:26" s="33" customFormat="1" ht="12" thickBot="1">
      <c r="A44" s="49" t="s">
        <v>79</v>
      </c>
      <c r="B44" s="48" t="s">
        <v>139</v>
      </c>
      <c r="C44" s="50">
        <v>1978</v>
      </c>
      <c r="D44" s="60">
        <f>ROUND(979301/(28*60+59),1)</f>
        <v>563.1</v>
      </c>
      <c r="E44" s="52">
        <f>ROUND(906760/(27*60+33),1)</f>
        <v>548.6</v>
      </c>
      <c r="F44" s="52">
        <f>ROUND(1446442/(42*60+17),1)</f>
        <v>570.1</v>
      </c>
      <c r="G44" s="61">
        <f>ROUND(1872720/(55*60+7),1)</f>
        <v>566.3</v>
      </c>
      <c r="H44" s="62">
        <f>ROUND(816084/(23*60+6),1)</f>
        <v>588.8</v>
      </c>
      <c r="I44" s="57">
        <f>ROUND(1966356/(53*60+32),1)</f>
        <v>612.2</v>
      </c>
      <c r="J44" s="61">
        <f>ROUND(1713539/(55*60+58),1)</f>
        <v>510.3</v>
      </c>
      <c r="K44" s="57">
        <f>ROUND(1298089/(34*60+52),1)</f>
        <v>620.5</v>
      </c>
      <c r="L44" s="52">
        <v>0</v>
      </c>
      <c r="M44" s="57">
        <f>ROUND(1223912/(34*60+2),1)</f>
        <v>599.4</v>
      </c>
      <c r="N44" s="57">
        <f>ROUND(12028000/18581,1)</f>
        <v>647.3</v>
      </c>
      <c r="O44" s="56">
        <f>ROUND(525650/(13*60+28.3),1)</f>
        <v>650.3</v>
      </c>
      <c r="P44" s="53">
        <f>ROUND(906760/(23*60+2),1)</f>
        <v>656.1</v>
      </c>
      <c r="Q44" s="57">
        <f>ROUND(582833/(14*60+51),1)</f>
        <v>654.1</v>
      </c>
      <c r="R44" s="56">
        <f>ROUND(525650/(11*60+54),1)</f>
        <v>736.2</v>
      </c>
      <c r="S44" s="57">
        <f>ROUND(1779084/(44*60+44),1)</f>
        <v>662.8</v>
      </c>
      <c r="T44" s="57">
        <f>ROUND(1553998/(41*60+35),1)</f>
        <v>622.8</v>
      </c>
      <c r="U44" s="56">
        <f>ROUND(1483530/(37*60+33),1)</f>
        <v>658.5</v>
      </c>
      <c r="V44" s="56">
        <f>ROUND(3865000/(102*60+57),1)</f>
        <v>625.7</v>
      </c>
      <c r="W44" s="52">
        <v>0</v>
      </c>
      <c r="X44" s="56">
        <f>ROUND(568350/(14*60+39),1)</f>
        <v>646.6</v>
      </c>
      <c r="Y44" s="65">
        <f>ROUND(906760/(24*60+58),1)</f>
        <v>605.3</v>
      </c>
      <c r="Z44" s="59">
        <f>SUM(D44:Y44)-SUM(D44,E44,F44,G44,H44,J44,L44)</f>
        <v>8997.8</v>
      </c>
    </row>
    <row r="45" spans="1:26" s="33" customFormat="1" ht="12" thickBot="1">
      <c r="A45" s="73" t="s">
        <v>39</v>
      </c>
      <c r="B45" s="48" t="s">
        <v>143</v>
      </c>
      <c r="C45" s="50">
        <v>1964</v>
      </c>
      <c r="D45" s="60">
        <v>0</v>
      </c>
      <c r="E45" s="52">
        <f>ROUND(871560/(26*60+39),1)</f>
        <v>545.1</v>
      </c>
      <c r="F45" s="53">
        <f>ROUND(1391003/(39*60+57),1)</f>
        <v>580.3</v>
      </c>
      <c r="G45" s="62">
        <f>ROUND(1802200/(52*60+36),1)</f>
        <v>571</v>
      </c>
      <c r="H45" s="57">
        <f>ROUND(784404/(21*60+39),1)</f>
        <v>603.9</v>
      </c>
      <c r="I45" s="52">
        <v>0</v>
      </c>
      <c r="J45" s="55">
        <v>0</v>
      </c>
      <c r="K45" s="57">
        <f>ROUND(1248336/(33*60+18),1)</f>
        <v>624.8</v>
      </c>
      <c r="L45" s="52">
        <v>0</v>
      </c>
      <c r="M45" s="57">
        <f>ROUND(1177003/(30*60+55),1)</f>
        <v>634.5</v>
      </c>
      <c r="N45" s="57">
        <f>ROUND(12648000/19208,1)</f>
        <v>658.5</v>
      </c>
      <c r="O45" s="56">
        <f>ROUND(505410/(12*60+37.3),1)</f>
        <v>667.4</v>
      </c>
      <c r="P45" s="56">
        <f>ROUND(871560/(22*60+26),1)</f>
        <v>647.5</v>
      </c>
      <c r="Q45" s="57">
        <f>ROUND(560754/(14*60+49),1)</f>
        <v>630.8</v>
      </c>
      <c r="R45" s="56">
        <f>ROUND(505410/(11*60+50),1)</f>
        <v>711.8</v>
      </c>
      <c r="S45" s="54">
        <f>ROUND(1712090/(44*60+26),1)</f>
        <v>642.2</v>
      </c>
      <c r="T45" s="57">
        <f>ROUND(1494437/(41*60+18),1)</f>
        <v>603.1</v>
      </c>
      <c r="U45" s="56">
        <f>ROUND(1426670/(36*60+43),1)</f>
        <v>647.6</v>
      </c>
      <c r="V45" s="52">
        <f>ROUND(3737280/(118*60+27),1)</f>
        <v>525.9</v>
      </c>
      <c r="W45" s="52">
        <v>0</v>
      </c>
      <c r="X45" s="56">
        <f>ROUND(546820/(14*60+14),1)</f>
        <v>640.3</v>
      </c>
      <c r="Y45" s="58">
        <f>ROUND(871560/(24*60+28),1)</f>
        <v>593.7</v>
      </c>
      <c r="Z45" s="59">
        <f>SUM(D45:Y45)-SUM(D45,E45,G45,I45,J45,L45,V45)</f>
        <v>8886.4</v>
      </c>
    </row>
    <row r="46" spans="1:26" s="33" customFormat="1" ht="12" thickBot="1">
      <c r="A46" s="49" t="s">
        <v>58</v>
      </c>
      <c r="B46" s="48" t="s">
        <v>147</v>
      </c>
      <c r="C46" s="50">
        <v>1954</v>
      </c>
      <c r="D46" s="60">
        <f>ROUND(1026076/(30*60+32),1)</f>
        <v>560.1</v>
      </c>
      <c r="E46" s="52">
        <f>ROUND(950070/(28*60+44),1)</f>
        <v>551.1</v>
      </c>
      <c r="F46" s="64">
        <f>ROUND(1516535/(43*60+45),1)</f>
        <v>577.7</v>
      </c>
      <c r="G46" s="61">
        <f>ROUND(1965010/(56*60+48),1)</f>
        <v>576.6</v>
      </c>
      <c r="H46" s="54">
        <f>ROUND(855063/(23*60+52),1)</f>
        <v>597.1</v>
      </c>
      <c r="I46" s="54">
        <f>ROUND(2063261/(58*60+59),1)</f>
        <v>583</v>
      </c>
      <c r="J46" s="55">
        <v>0</v>
      </c>
      <c r="K46" s="57">
        <f>ROUND(1360993/(35*60+47),1)</f>
        <v>633.9</v>
      </c>
      <c r="L46" s="56">
        <f>ROUND(1102081/(30*60+42),1)</f>
        <v>598.3</v>
      </c>
      <c r="M46" s="56">
        <f>ROUND(1283222/(34*60+14),1)</f>
        <v>624.7</v>
      </c>
      <c r="N46" s="57">
        <f>ROUND(11398000/17624,1)</f>
        <v>646.7</v>
      </c>
      <c r="O46" s="56">
        <f>ROUND(551070/(13*60+45.6),1)</f>
        <v>667.5</v>
      </c>
      <c r="P46" s="56">
        <f>ROUND(950070/(24*60+36),1)</f>
        <v>643.7</v>
      </c>
      <c r="Q46" s="57">
        <f>ROUND(611361/(16*60+8),1)</f>
        <v>631.6</v>
      </c>
      <c r="R46" s="52">
        <v>0</v>
      </c>
      <c r="S46" s="54">
        <f>ROUND(1866760/(49*60+7),1)</f>
        <v>633.4</v>
      </c>
      <c r="T46" s="57">
        <f>ROUND(1629302/(46*60+31),1)</f>
        <v>583.8</v>
      </c>
      <c r="U46" s="57">
        <f>ROUND(1555420/(39*60+58),1)</f>
        <v>648.6</v>
      </c>
      <c r="V46" s="52">
        <v>0</v>
      </c>
      <c r="W46" s="52">
        <v>0</v>
      </c>
      <c r="X46" s="56">
        <f>ROUND(596170/(14*60+54),1)</f>
        <v>666.9</v>
      </c>
      <c r="Y46" s="58">
        <f>ROUND(950070/(26*60+32),1)</f>
        <v>596.8</v>
      </c>
      <c r="Z46" s="59">
        <f>SUM(D46:Y46)-SUM(D46,E46,F46,G46,J46,R46,V46)</f>
        <v>8755.999999999998</v>
      </c>
    </row>
    <row r="47" spans="1:26" s="33" customFormat="1" ht="12" thickBot="1">
      <c r="A47" s="49" t="s">
        <v>191</v>
      </c>
      <c r="B47" s="48" t="s">
        <v>152</v>
      </c>
      <c r="C47" s="63">
        <v>1946</v>
      </c>
      <c r="D47" s="74">
        <f>ROUND(1141268/(33*60+13),1)</f>
        <v>572.6</v>
      </c>
      <c r="E47" s="52">
        <v>0</v>
      </c>
      <c r="F47" s="52">
        <v>0</v>
      </c>
      <c r="G47" s="54">
        <f>ROUND(2186110/(62*60+15),1)</f>
        <v>585.3</v>
      </c>
      <c r="H47" s="57">
        <f>ROUND(951057/(26*60+51),1)</f>
        <v>590.4</v>
      </c>
      <c r="I47" s="52">
        <v>0</v>
      </c>
      <c r="J47" s="61">
        <f>ROUND(2000291/(70*60+14),1)</f>
        <v>474.7</v>
      </c>
      <c r="K47" s="57">
        <f>ROUND(1514021/(39*60+36),1)</f>
        <v>637.2</v>
      </c>
      <c r="L47" s="56">
        <f>ROUND(1225807/(34*60+5),1)</f>
        <v>599.4</v>
      </c>
      <c r="M47" s="57">
        <f>ROUND(1427506/(36*60+25),1)</f>
        <v>653.3</v>
      </c>
      <c r="N47" s="55">
        <v>0</v>
      </c>
      <c r="O47" s="57">
        <f>ROUND(613170/(15*60+7.1),1)</f>
        <v>676</v>
      </c>
      <c r="P47" s="52">
        <v>0</v>
      </c>
      <c r="Q47" s="57">
        <f>ROUND(680171/(18*60+56),1)</f>
        <v>598.7</v>
      </c>
      <c r="R47" s="57">
        <f>ROUND(613170/(14*60+26),1)</f>
        <v>708</v>
      </c>
      <c r="S47" s="54">
        <f>ROUND(2076805/(53*60+59),1)</f>
        <v>641.2</v>
      </c>
      <c r="T47" s="57">
        <f>ROUND(1812500/(51*60+51),1)</f>
        <v>582.6</v>
      </c>
      <c r="U47" s="56">
        <f>ROUND(1730310/(45*60+26),1)</f>
        <v>634.7</v>
      </c>
      <c r="V47" s="62">
        <f>ROUND(4529010/(134*60+20),1)</f>
        <v>561.9</v>
      </c>
      <c r="W47" s="52">
        <v>0</v>
      </c>
      <c r="X47" s="57">
        <f>ROUND(663270/(16*60+47),1)</f>
        <v>658.7</v>
      </c>
      <c r="Y47" s="58">
        <f>ROUND(1056730/(29*60+22),1)</f>
        <v>599.7</v>
      </c>
      <c r="Z47" s="59">
        <f>SUM(D47:Y47)-SUM(E47,F47,I47,J47,N47,P47,V47)</f>
        <v>8737.800000000001</v>
      </c>
    </row>
    <row r="48" spans="1:26" s="33" customFormat="1" ht="12" thickBot="1">
      <c r="A48" s="49" t="s">
        <v>64</v>
      </c>
      <c r="B48" s="48" t="s">
        <v>156</v>
      </c>
      <c r="C48" s="50">
        <v>1967</v>
      </c>
      <c r="D48" s="60">
        <v>0</v>
      </c>
      <c r="E48" s="52">
        <v>0</v>
      </c>
      <c r="F48" s="52">
        <f>ROUND(1391003/(40*60+34),1)</f>
        <v>571.5</v>
      </c>
      <c r="G48" s="61">
        <f>ROUND(1802200/(54*60+54),1)</f>
        <v>547.1</v>
      </c>
      <c r="H48" s="54">
        <f>ROUND(784404/(21*60+34),1)</f>
        <v>606.2</v>
      </c>
      <c r="I48" s="57">
        <f>ROUND(1892310/(51*60+27),1)</f>
        <v>613</v>
      </c>
      <c r="J48" s="61">
        <f>ROUND(1649013/(51*60+31),1)</f>
        <v>533.5</v>
      </c>
      <c r="K48" s="57">
        <f>ROUND(1248336/(34*60+3),1)</f>
        <v>611</v>
      </c>
      <c r="L48" s="56">
        <f>ROUND(1011010/(27*60+11),1)</f>
        <v>619.9</v>
      </c>
      <c r="M48" s="57">
        <f>ROUND(1177003/(31*60+53),1)</f>
        <v>615.3</v>
      </c>
      <c r="N48" s="54">
        <f>ROUND(11396000/19208,1)</f>
        <v>593.3</v>
      </c>
      <c r="O48" s="56">
        <f>ROUND(505410/(12*60+44),1)</f>
        <v>661.5</v>
      </c>
      <c r="P48" s="53">
        <f>ROUND(871560/(24*60+39),1)</f>
        <v>589.3</v>
      </c>
      <c r="Q48" s="57">
        <f>ROUND(560754/(14*60+47),1)</f>
        <v>632.2</v>
      </c>
      <c r="R48" s="56">
        <f>ROUND(505410/(12*60+29),1)</f>
        <v>674.8</v>
      </c>
      <c r="S48" s="54">
        <f>ROUND(1712090/(47*60+37),1)</f>
        <v>599.3</v>
      </c>
      <c r="T48" s="66">
        <f>ROUND(1494437/(43*60+4),1)</f>
        <v>578.3</v>
      </c>
      <c r="U48" s="56">
        <f>ROUND(1426670/(38*60+25),1)</f>
        <v>618.9</v>
      </c>
      <c r="V48" s="52">
        <f>ROUND(3737280/(114*60+21),1)</f>
        <v>544.7</v>
      </c>
      <c r="W48" s="52">
        <v>0</v>
      </c>
      <c r="X48" s="56">
        <f>ROUND(546820/(14*60+41),1)</f>
        <v>620.7</v>
      </c>
      <c r="Y48" s="75">
        <v>0</v>
      </c>
      <c r="Z48" s="59">
        <f>SUM(D48:Y48)-SUM(D48,E48,F48,G48,J48,V48,Y48)</f>
        <v>8633.7</v>
      </c>
    </row>
    <row r="49" spans="1:26" s="33" customFormat="1" ht="12" thickBot="1">
      <c r="A49" s="49" t="s">
        <v>71</v>
      </c>
      <c r="B49" s="48" t="s">
        <v>160</v>
      </c>
      <c r="C49" s="63">
        <v>1989</v>
      </c>
      <c r="D49" s="60">
        <f>ROUND(932785/(28*60+45),1)</f>
        <v>540.7</v>
      </c>
      <c r="E49" s="52">
        <v>0</v>
      </c>
      <c r="F49" s="64">
        <f>ROUND(1383525/(41*60+57),1)</f>
        <v>549.7</v>
      </c>
      <c r="G49" s="55">
        <v>0</v>
      </c>
      <c r="H49" s="57">
        <f>ROUND(777321/(22*60+22),1)</f>
        <v>579.2</v>
      </c>
      <c r="I49" s="56">
        <f>ROUND(1884750/(50*60+34),1)</f>
        <v>621.2</v>
      </c>
      <c r="J49" s="61">
        <f>ROUND(1642425/(56*60+43),1)</f>
        <v>482.6</v>
      </c>
      <c r="K49" s="57">
        <f>ROUND(1241625/(31*60+32),1)</f>
        <v>656.3</v>
      </c>
      <c r="L49" s="56">
        <f>ROUND(1001880/(27*60+35),1)</f>
        <v>605.4</v>
      </c>
      <c r="M49" s="53">
        <f>ROUND(1170675/(33*60+46),1)</f>
        <v>577.8</v>
      </c>
      <c r="N49" s="54">
        <f>ROUND(11006000/19240,1)</f>
        <v>572</v>
      </c>
      <c r="O49" s="56">
        <f>ROUND(498000/(12*60+53.7),1)</f>
        <v>643.7</v>
      </c>
      <c r="P49" s="56">
        <f>ROUND(863690/(22*60+20),1)</f>
        <v>644.5</v>
      </c>
      <c r="Q49" s="57">
        <f>ROUND(552642/(14*60+46),1)</f>
        <v>623.7</v>
      </c>
      <c r="R49" s="56">
        <f>ROUND(498000/(11*60+49),1)</f>
        <v>702.4</v>
      </c>
      <c r="S49" s="54">
        <f>ROUND(1705250/(50*60+27),1)</f>
        <v>563.3</v>
      </c>
      <c r="T49" s="55">
        <v>0</v>
      </c>
      <c r="U49" s="56">
        <f>ROUND(1419000/(40*60+29),1)</f>
        <v>584.2</v>
      </c>
      <c r="V49" s="52">
        <v>0</v>
      </c>
      <c r="W49" s="52">
        <v>0</v>
      </c>
      <c r="X49" s="56">
        <f>ROUND(538910/(14*60+35),1)</f>
        <v>615.9</v>
      </c>
      <c r="Y49" s="58">
        <f>ROUND(863690/(25*60+8),1)</f>
        <v>572.7</v>
      </c>
      <c r="Z49" s="59">
        <f>SUM(D49:Y49)-SUM(D49,E49,F49,G49,J49,T49,V49)</f>
        <v>8562.3</v>
      </c>
    </row>
    <row r="50" spans="1:26" s="33" customFormat="1" ht="12" thickBot="1">
      <c r="A50" s="49" t="s">
        <v>192</v>
      </c>
      <c r="B50" s="48" t="s">
        <v>165</v>
      </c>
      <c r="C50" s="50">
        <v>1990</v>
      </c>
      <c r="D50" s="72">
        <f>ROUND(840661/(23*60+39),1)</f>
        <v>592.4</v>
      </c>
      <c r="E50" s="52">
        <v>0</v>
      </c>
      <c r="F50" s="57">
        <f>ROUND(1246898/(34*60+45),1)</f>
        <v>598</v>
      </c>
      <c r="G50" s="54">
        <f>ROUND(1618380/(46*60+41),1)</f>
        <v>577.8</v>
      </c>
      <c r="H50" s="55">
        <v>0</v>
      </c>
      <c r="I50" s="56">
        <f>ROUND(1699299/(43*60+41),1)</f>
        <v>648.3</v>
      </c>
      <c r="J50" s="55">
        <v>0</v>
      </c>
      <c r="K50" s="55">
        <v>0</v>
      </c>
      <c r="L50" s="52">
        <v>0</v>
      </c>
      <c r="M50" s="56">
        <f>ROUND(1055068/(26*60+43),1)</f>
        <v>658.2</v>
      </c>
      <c r="N50" s="55">
        <v>0</v>
      </c>
      <c r="O50" s="56">
        <f>ROUND(448960/(10*60+42.6),1)</f>
        <v>698.7</v>
      </c>
      <c r="P50" s="52">
        <v>0</v>
      </c>
      <c r="Q50" s="57">
        <f>ROUND(498569/(12*60+22),1)</f>
        <v>671.9</v>
      </c>
      <c r="R50" s="56">
        <f>ROUND(448960/(9*60+55),1)</f>
        <v>754.6</v>
      </c>
      <c r="S50" s="57">
        <f>ROUND(1537461/(36*60+35),1)</f>
        <v>700.4</v>
      </c>
      <c r="T50" s="76">
        <v>0</v>
      </c>
      <c r="U50" s="56">
        <f>ROUND(1278870/(31*60+23),1)</f>
        <v>679.2</v>
      </c>
      <c r="V50" s="56">
        <f>ROUND(3380000/(85*60+3),1)</f>
        <v>662.4</v>
      </c>
      <c r="W50" s="52">
        <v>0</v>
      </c>
      <c r="X50" s="56">
        <f>ROUND(486180/(12*60+5),1)</f>
        <v>670.6</v>
      </c>
      <c r="Y50" s="58">
        <f>ROUND(778390/(20*60+12),1)</f>
        <v>642.2</v>
      </c>
      <c r="Z50" s="59">
        <f>SUM(D50:Y50)-SUM(E50,H50,J50,K50,L50,N50,P50)</f>
        <v>8554.699999999999</v>
      </c>
    </row>
    <row r="51" spans="1:26" s="33" customFormat="1" ht="12" thickBot="1">
      <c r="A51" s="73" t="s">
        <v>62</v>
      </c>
      <c r="B51" s="48" t="s">
        <v>171</v>
      </c>
      <c r="C51" s="63">
        <v>1991</v>
      </c>
      <c r="D51" s="60">
        <f>ROUND(840661/(29*60+22),1)</f>
        <v>477.1</v>
      </c>
      <c r="E51" s="52">
        <f>ROUND(778390/(26*60+9),1)</f>
        <v>496.1</v>
      </c>
      <c r="F51" s="64">
        <f>ROUND(1246898/(40*60+20),1)</f>
        <v>515.2</v>
      </c>
      <c r="G51" s="61">
        <f>ROUND(1618380/(53*60+55),1)</f>
        <v>500.3</v>
      </c>
      <c r="H51" s="57">
        <f>ROUND(700551/(20*60+58),1)</f>
        <v>556.9</v>
      </c>
      <c r="I51" s="56">
        <f>ROUND(1699299/(48*60+2),1)</f>
        <v>589.6</v>
      </c>
      <c r="J51" s="61">
        <f>ROUND(1480818/(49*60+28),1)</f>
        <v>498.9</v>
      </c>
      <c r="K51" s="55">
        <v>0</v>
      </c>
      <c r="L51" s="52">
        <v>0</v>
      </c>
      <c r="M51" s="56">
        <f>ROUND(1055068/(33*60+42),1)</f>
        <v>521.8</v>
      </c>
      <c r="N51" s="57">
        <f>ROUND(12402000/21224,1)</f>
        <v>584.3</v>
      </c>
      <c r="O51" s="56">
        <f>ROUND(448960/(11*60+52.3),1)</f>
        <v>630.3</v>
      </c>
      <c r="P51" s="56">
        <f>ROUND(778390/(21*60+7),1)</f>
        <v>614.4</v>
      </c>
      <c r="Q51" s="57">
        <f>ROUND(498569/(13*60+35),1)</f>
        <v>611.7</v>
      </c>
      <c r="R51" s="56">
        <f>ROUND(448960/(10*60+54),1)</f>
        <v>686.5</v>
      </c>
      <c r="S51" s="57">
        <f>ROUND(1537461/(41*60+23),1)</f>
        <v>619.2</v>
      </c>
      <c r="T51" s="57">
        <f>ROUND(1339616/(37*60+39),1)</f>
        <v>593</v>
      </c>
      <c r="U51" s="56">
        <f>ROUND(1278870/(33*60+57),1)</f>
        <v>627.8</v>
      </c>
      <c r="V51" s="56">
        <f>ROUND(3380000/(94*60+20),1)</f>
        <v>597.2</v>
      </c>
      <c r="W51" s="52">
        <v>0</v>
      </c>
      <c r="X51" s="56">
        <f>ROUND(486180/(13*60+5),1)</f>
        <v>619.3</v>
      </c>
      <c r="Y51" s="58">
        <f>ROUND(778390/(21*60+28),1)</f>
        <v>604.3</v>
      </c>
      <c r="Z51" s="59">
        <f>SUM(D51:Y51)-SUM(D51,E51,F51,G51,J51,K51,L51)</f>
        <v>8456.299999999997</v>
      </c>
    </row>
    <row r="52" spans="1:26" s="33" customFormat="1" ht="12" thickBot="1">
      <c r="A52" s="49" t="s">
        <v>41</v>
      </c>
      <c r="B52" s="48" t="s">
        <v>175</v>
      </c>
      <c r="C52" s="63">
        <v>1974</v>
      </c>
      <c r="D52" s="71">
        <f>ROUND(873504/(25*60+50),1)</f>
        <v>563.6</v>
      </c>
      <c r="E52" s="53">
        <f>ROUND(808800/(24*60+17),1)</f>
        <v>555.1</v>
      </c>
      <c r="F52" s="53">
        <f>ROUND(1290647/(37*60+36),1)</f>
        <v>572.1</v>
      </c>
      <c r="G52" s="66">
        <f>ROUND(1672050/(50*60+51),1)</f>
        <v>548</v>
      </c>
      <c r="H52" s="57">
        <f>ROUND(727920/(20*60+2),1)</f>
        <v>605.6</v>
      </c>
      <c r="I52" s="57">
        <f>ROUND(1755653/(49*60+12),1)</f>
        <v>594.7</v>
      </c>
      <c r="J52" s="61">
        <f>ROUND(1529926/(50*60+49),1)</f>
        <v>501.8</v>
      </c>
      <c r="K52" s="57">
        <f>ROUND(1158273/(31*60+34),1)</f>
        <v>611.5</v>
      </c>
      <c r="L52" s="56">
        <f>ROUND(938208/(26*60+13),1)</f>
        <v>596.4</v>
      </c>
      <c r="M52" s="52">
        <v>0</v>
      </c>
      <c r="N52" s="55">
        <v>0</v>
      </c>
      <c r="O52" s="56">
        <f>ROUND(468940/(12*60+17.2),1)</f>
        <v>636.1</v>
      </c>
      <c r="P52" s="56">
        <f>ROUND(808800/(21*60+46),1)</f>
        <v>619.3</v>
      </c>
      <c r="Q52" s="55">
        <v>0</v>
      </c>
      <c r="R52" s="53">
        <f>ROUND(468940/(11*60+16),1)</f>
        <v>693.7</v>
      </c>
      <c r="S52" s="54">
        <f>ROUND(1588448/(43*60+49),1)</f>
        <v>604.2</v>
      </c>
      <c r="T52" s="57">
        <f>ROUND(1386618/(40*60+51),1)</f>
        <v>565.7</v>
      </c>
      <c r="U52" s="56">
        <f>ROUND(1323740/(38*60+44),1)</f>
        <v>569.6</v>
      </c>
      <c r="V52" s="52">
        <v>0</v>
      </c>
      <c r="W52" s="52">
        <v>0</v>
      </c>
      <c r="X52" s="52">
        <v>0</v>
      </c>
      <c r="Y52" s="75">
        <v>0</v>
      </c>
      <c r="Z52" s="59">
        <f>SUM(D52:Y52)-SUM(J52,M52,N52,Q52,V52,X52,Y52)</f>
        <v>8335.600000000002</v>
      </c>
    </row>
    <row r="53" spans="1:26" s="33" customFormat="1" ht="12" thickBot="1">
      <c r="A53" s="70" t="s">
        <v>57</v>
      </c>
      <c r="B53" s="48" t="s">
        <v>179</v>
      </c>
      <c r="C53" s="50">
        <v>1962</v>
      </c>
      <c r="D53" s="60">
        <v>0</v>
      </c>
      <c r="E53" s="53">
        <f>ROUND(908270/(27*60+20),1)</f>
        <v>553.8</v>
      </c>
      <c r="F53" s="53">
        <f>ROUND(1449718/(41*60+23),1)</f>
        <v>583.9</v>
      </c>
      <c r="G53" s="54">
        <f>ROUND(1878340/(56*60+41),1)</f>
        <v>552.3</v>
      </c>
      <c r="H53" s="54">
        <f>ROUND(817443/(23*60+18),1)</f>
        <v>584.7</v>
      </c>
      <c r="I53" s="53">
        <f>ROUND(1819083/(53*60+32),1)</f>
        <v>566.3</v>
      </c>
      <c r="J53" s="55">
        <v>0</v>
      </c>
      <c r="K53" s="57">
        <f>ROUND(1301029/(35*60+16),1)</f>
        <v>614.9</v>
      </c>
      <c r="L53" s="56">
        <f>ROUND(1053593/(29*60+52),1)</f>
        <v>587.9</v>
      </c>
      <c r="M53" s="57">
        <f>ROUND(1226684/(33*60+35),1)</f>
        <v>608.8</v>
      </c>
      <c r="N53" s="57">
        <f>ROUND(11910000/18433,1)</f>
        <v>646.1</v>
      </c>
      <c r="O53" s="52">
        <v>0</v>
      </c>
      <c r="P53" s="56">
        <f>ROUND(908270/(24*60+54),1)</f>
        <v>607.9</v>
      </c>
      <c r="Q53" s="55">
        <v>0</v>
      </c>
      <c r="R53" s="53">
        <f>ROUND(526760/(13*60+8),1)</f>
        <v>668.5</v>
      </c>
      <c r="S53" s="62">
        <f>ROUND(1784423/(67*60+8),1)</f>
        <v>443</v>
      </c>
      <c r="T53" s="55">
        <v>0</v>
      </c>
      <c r="U53" s="57">
        <f>ROUND(1486890/(40*60+4),1)</f>
        <v>618.5</v>
      </c>
      <c r="V53" s="56">
        <f>ROUND(3894460/(114*60+10),1)</f>
        <v>568.5</v>
      </c>
      <c r="W53" s="52">
        <v>0</v>
      </c>
      <c r="X53" s="52">
        <v>0</v>
      </c>
      <c r="Y53" s="58">
        <f>ROUND(908270/(28*60+51),1)</f>
        <v>524.7</v>
      </c>
      <c r="Z53" s="59">
        <f>SUM(D53:Y53)-SUM(D53,J53,O53,Q53,S53,T53,X53)</f>
        <v>8286.800000000001</v>
      </c>
    </row>
    <row r="54" spans="1:26" s="33" customFormat="1" ht="12" thickBot="1">
      <c r="A54" s="49" t="s">
        <v>194</v>
      </c>
      <c r="B54" s="48" t="s">
        <v>193</v>
      </c>
      <c r="C54" s="50">
        <v>1985</v>
      </c>
      <c r="D54" s="71">
        <f>ROUND(905710/(27*60+52),1)</f>
        <v>541.7</v>
      </c>
      <c r="E54" s="52">
        <f>ROUND(838620/(25*60+54),1)</f>
        <v>539.7</v>
      </c>
      <c r="F54" s="53">
        <f>ROUND(1337905/(39*60+15),1)</f>
        <v>568.1</v>
      </c>
      <c r="G54" s="54">
        <f>ROUND(1732460/(51*60+53),1)</f>
        <v>556.5</v>
      </c>
      <c r="H54" s="54">
        <f>ROUND(754758/(21*60+35),1)</f>
        <v>582.8</v>
      </c>
      <c r="I54" s="56">
        <f>ROUND(1819083/(51*60+22),1)</f>
        <v>590.2</v>
      </c>
      <c r="J54" s="61">
        <f>ROUND(1585201/(52*60+1),1)</f>
        <v>507.9</v>
      </c>
      <c r="K54" s="57">
        <f>ROUND(1200684/(32*60+29),1)</f>
        <v>616.1</v>
      </c>
      <c r="L54" s="57">
        <f>ROUND(972799/(27*60+4),1)</f>
        <v>599</v>
      </c>
      <c r="M54" s="55">
        <v>0</v>
      </c>
      <c r="N54" s="57">
        <f>ROUND(12605000/20079,1)</f>
        <v>627.8</v>
      </c>
      <c r="O54" s="52">
        <v>0</v>
      </c>
      <c r="P54" s="52">
        <v>0</v>
      </c>
      <c r="Q54" s="55">
        <v>0</v>
      </c>
      <c r="R54" s="52">
        <v>0</v>
      </c>
      <c r="S54" s="54">
        <f>ROUND(1645837/(44*60+46),1)</f>
        <v>612.7</v>
      </c>
      <c r="T54" s="57">
        <f>ROUND(1437390/(41*60+52),1)</f>
        <v>572.2</v>
      </c>
      <c r="U54" s="56">
        <f>ROUND(1372210/(37*60+16),1)</f>
        <v>613.7</v>
      </c>
      <c r="V54" s="56">
        <f>ROUND(3577000/(98*60+40),1)</f>
        <v>604.2</v>
      </c>
      <c r="W54" s="52">
        <v>0</v>
      </c>
      <c r="X54" s="56">
        <f>ROUND(525460/(14*60+22),1)</f>
        <v>609.6</v>
      </c>
      <c r="Y54" s="58">
        <f>ROUND(838620/(23*60+45),1)</f>
        <v>588.5</v>
      </c>
      <c r="Z54" s="59">
        <f>SUM(D54:Y54)-SUM(E54,J54,M54,O54,P54,Q54,R54)</f>
        <v>8283.099999999999</v>
      </c>
    </row>
    <row r="55" spans="1:26" s="33" customFormat="1" ht="12" thickBot="1">
      <c r="A55" s="77" t="s">
        <v>196</v>
      </c>
      <c r="B55" s="48" t="s">
        <v>195</v>
      </c>
      <c r="C55" s="50">
        <v>1984</v>
      </c>
      <c r="D55" s="72">
        <f>ROUND(905710/(28*60+1),1)</f>
        <v>538.8</v>
      </c>
      <c r="E55" s="53">
        <f>ROUND(838620/(26*60+16),1)</f>
        <v>532.1</v>
      </c>
      <c r="F55" s="62">
        <f>ROUND(1337905/(44*60+20),1)</f>
        <v>503</v>
      </c>
      <c r="G55" s="55">
        <v>0</v>
      </c>
      <c r="H55" s="54">
        <f>ROUND(754758/(23*60+22),1)</f>
        <v>538.3</v>
      </c>
      <c r="I55" s="52">
        <v>0</v>
      </c>
      <c r="J55" s="55">
        <v>0</v>
      </c>
      <c r="K55" s="57">
        <f>ROUND(1200684/(32*60+16),1)</f>
        <v>620.2</v>
      </c>
      <c r="L55" s="56">
        <f>ROUND(972799/(27*60+53),1)</f>
        <v>581.5</v>
      </c>
      <c r="M55" s="57">
        <f>ROUND(1132073/(31*60+58),1)</f>
        <v>590.2</v>
      </c>
      <c r="N55" s="55">
        <v>0</v>
      </c>
      <c r="O55" s="56">
        <f>ROUND(485950/(12*60+54.9),1)</f>
        <v>627.1</v>
      </c>
      <c r="P55" s="56">
        <f>ROUND(838620/(22*60+27),1)</f>
        <v>622.6</v>
      </c>
      <c r="Q55" s="57">
        <f>ROUND(538850/(14*60+38),1)</f>
        <v>613.7</v>
      </c>
      <c r="R55" s="52">
        <v>0</v>
      </c>
      <c r="S55" s="54">
        <f>ROUND(1645837/(46*60+28),1)</f>
        <v>590.3</v>
      </c>
      <c r="T55" s="57">
        <f>ROUND(1437390/(43*60+9),1)</f>
        <v>555.2</v>
      </c>
      <c r="U55" s="56">
        <f>ROUND(1372210/(37*60+24),1)</f>
        <v>611.5</v>
      </c>
      <c r="V55" s="52">
        <v>0</v>
      </c>
      <c r="W55" s="52">
        <v>0</v>
      </c>
      <c r="X55" s="56">
        <f>ROUND(525460/(14*60+15),1)</f>
        <v>614.6</v>
      </c>
      <c r="Y55" s="58">
        <f>ROUND(838620/(25*60+2),1)</f>
        <v>558.3</v>
      </c>
      <c r="Z55" s="59">
        <f>SUM(D55:Y55)-SUM(F55,G55,I55,J55,N55,R55,V55)</f>
        <v>8194.4</v>
      </c>
    </row>
    <row r="56" spans="1:26" s="33" customFormat="1" ht="12" thickBot="1">
      <c r="A56" s="49" t="s">
        <v>198</v>
      </c>
      <c r="B56" s="48" t="s">
        <v>197</v>
      </c>
      <c r="C56" s="50">
        <v>1978</v>
      </c>
      <c r="D56" s="60">
        <f>ROUND(873504/(28*60+38),1)</f>
        <v>508.4</v>
      </c>
      <c r="E56" s="52">
        <f>ROUND(808800/(27*60+15),1)</f>
        <v>494.7</v>
      </c>
      <c r="F56" s="53">
        <f>ROUND(1290647/(39*60+48),1)</f>
        <v>540.5</v>
      </c>
      <c r="G56" s="62">
        <f>ROUND(1672050/(52*60+44),1)</f>
        <v>528.5</v>
      </c>
      <c r="H56" s="57">
        <f>ROUND(727920/(21*60+32),1)</f>
        <v>563.4</v>
      </c>
      <c r="I56" s="55">
        <v>0</v>
      </c>
      <c r="J56" s="61">
        <f>ROUND(1529926/(52*60+14),1)</f>
        <v>488.2</v>
      </c>
      <c r="K56" s="57">
        <f>ROUND(1158273/(33*60+21),1)</f>
        <v>578.8</v>
      </c>
      <c r="L56" s="56">
        <f>ROUND(938208/(28*60+50),1)</f>
        <v>542.3</v>
      </c>
      <c r="M56" s="52">
        <v>0</v>
      </c>
      <c r="N56" s="57">
        <f>ROUND(12027000/20695,1)</f>
        <v>581.2</v>
      </c>
      <c r="O56" s="56">
        <f>ROUND(468940/(12*60+40.5),1)</f>
        <v>616.6</v>
      </c>
      <c r="P56" s="56">
        <f>ROUND(808800/(22*60+56),1)</f>
        <v>587.8</v>
      </c>
      <c r="Q56" s="57">
        <f>ROUND(520319/(14*60+46),1)</f>
        <v>587.3</v>
      </c>
      <c r="R56" s="56">
        <f>ROUND(468940/(12*60+10),1)</f>
        <v>642.4</v>
      </c>
      <c r="S56" s="54">
        <f>ROUND(1588448/(45*60+53),1)</f>
        <v>577</v>
      </c>
      <c r="T56" s="57">
        <f>ROUND(1386618/(42*60+34),1)</f>
        <v>542.9</v>
      </c>
      <c r="U56" s="56">
        <f>ROUND(1323740/(37*60+18),1)</f>
        <v>591.5</v>
      </c>
      <c r="V56" s="52">
        <v>0</v>
      </c>
      <c r="W56" s="52">
        <v>0</v>
      </c>
      <c r="X56" s="56">
        <f>ROUND(507390/(13*60+51),1)</f>
        <v>610.6</v>
      </c>
      <c r="Y56" s="58">
        <f>ROUND(808800/(24*60+3),1)</f>
        <v>560.5</v>
      </c>
      <c r="Z56" s="59">
        <f>SUM(D56:Y56)-SUM(D56,E56,G56,I56,J56,M56,V56)</f>
        <v>8122.8</v>
      </c>
    </row>
    <row r="57" spans="1:26" s="33" customFormat="1" ht="12" thickBot="1">
      <c r="A57" s="49" t="s">
        <v>65</v>
      </c>
      <c r="B57" s="48" t="s">
        <v>199</v>
      </c>
      <c r="C57" s="63">
        <v>1953</v>
      </c>
      <c r="D57" s="71">
        <f>ROUND(1078596/(32*60+40),1)</f>
        <v>550.3</v>
      </c>
      <c r="E57" s="53">
        <f>ROUND(998700/(30*60+43),1)</f>
        <v>541.9</v>
      </c>
      <c r="F57" s="57">
        <f>ROUND(1594291/(47*60+43),1)</f>
        <v>556.9</v>
      </c>
      <c r="G57" s="55">
        <v>0</v>
      </c>
      <c r="H57" s="55">
        <v>0</v>
      </c>
      <c r="I57" s="56">
        <f>ROUND(2169132/(63*60+11),1)</f>
        <v>572.2</v>
      </c>
      <c r="J57" s="62">
        <f>ROUND(1890244/(63*60+22),1)</f>
        <v>497.2</v>
      </c>
      <c r="K57" s="55">
        <v>0</v>
      </c>
      <c r="L57" s="52">
        <v>0</v>
      </c>
      <c r="M57" s="57">
        <f>ROUND(1349015/(37*60+16),1)</f>
        <v>603.3</v>
      </c>
      <c r="N57" s="57">
        <f>ROUND(10131000/16769,1)</f>
        <v>604.2</v>
      </c>
      <c r="O57" s="56">
        <f>ROUND(579380/(15*60+55.1),1)</f>
        <v>606.6</v>
      </c>
      <c r="P57" s="56">
        <f>ROUND(998700/(27*60+13),1)</f>
        <v>611.6</v>
      </c>
      <c r="Q57" s="57">
        <f>ROUND(642731/(19*60+2),1)</f>
        <v>562.8</v>
      </c>
      <c r="R57" s="56">
        <f>ROUND(579380/(15*60+9),1)</f>
        <v>637.4</v>
      </c>
      <c r="S57" s="54">
        <f>ROUND(1962548/(57*60+13),1)</f>
        <v>571.7</v>
      </c>
      <c r="T57" s="54">
        <f>ROUND(1712841/(51*60+58),1)</f>
        <v>549.3</v>
      </c>
      <c r="U57" s="52">
        <v>0</v>
      </c>
      <c r="V57" s="52">
        <v>0</v>
      </c>
      <c r="W57" s="52">
        <v>0</v>
      </c>
      <c r="X57" s="57">
        <f>ROUND(626760/(17*60+50),1)</f>
        <v>585.8</v>
      </c>
      <c r="Y57" s="58">
        <f>ROUND(998700/(29*60+58),1)</f>
        <v>555.5</v>
      </c>
      <c r="Z57" s="59">
        <f>SUM(D57:Y57)-SUM(G57,H57,J57,K57,L57,U57,V57)</f>
        <v>8109.500000000001</v>
      </c>
    </row>
    <row r="58" spans="1:26" s="33" customFormat="1" ht="12" thickBot="1">
      <c r="A58" s="78" t="s">
        <v>31</v>
      </c>
      <c r="B58" s="48" t="s">
        <v>200</v>
      </c>
      <c r="C58" s="79">
        <v>1977</v>
      </c>
      <c r="D58" s="72">
        <f>ROUND(979301/(30*60+53),1)</f>
        <v>528.5</v>
      </c>
      <c r="E58" s="53">
        <f>ROUND(906760/(28*60+42),1)</f>
        <v>526.6</v>
      </c>
      <c r="F58" s="56">
        <f>ROUND(1446442/(45*60+31),1)</f>
        <v>529.6</v>
      </c>
      <c r="G58" s="54">
        <f>ROUND(1872720/(60*60+31),1)</f>
        <v>515.8</v>
      </c>
      <c r="H58" s="55">
        <v>0</v>
      </c>
      <c r="I58" s="55">
        <v>0</v>
      </c>
      <c r="J58" s="66">
        <f>ROUND(1713539/(59*60+22),1)</f>
        <v>481.1</v>
      </c>
      <c r="K58" s="57">
        <f>ROUND(1298089/(36*60+29),1)</f>
        <v>593</v>
      </c>
      <c r="L58" s="52">
        <v>0</v>
      </c>
      <c r="M58" s="55">
        <v>0</v>
      </c>
      <c r="N58" s="55">
        <v>0</v>
      </c>
      <c r="O58" s="56">
        <f>ROUND(525650/(13*60+43),1)</f>
        <v>638.7</v>
      </c>
      <c r="P58" s="53">
        <f>ROUND(906760/(24*60+37),1)</f>
        <v>613.9</v>
      </c>
      <c r="Q58" s="57">
        <f>ROUND(582833/(15*60+43),1)</f>
        <v>618.1</v>
      </c>
      <c r="R58" s="56">
        <f>ROUND(525650/(12*60+57),1)</f>
        <v>676.5</v>
      </c>
      <c r="S58" s="57">
        <f>ROUND(1779084/(49*60+7),1)</f>
        <v>603.7</v>
      </c>
      <c r="T58" s="57">
        <f>ROUND(1553998/(44*60+41),1)</f>
        <v>579.6</v>
      </c>
      <c r="U58" s="57">
        <f>ROUND(1483530/(40*60+36),1)</f>
        <v>609</v>
      </c>
      <c r="V58" s="52">
        <v>0</v>
      </c>
      <c r="W58" s="52">
        <v>0</v>
      </c>
      <c r="X58" s="56">
        <f>ROUND(568350/(16*60+15),1)</f>
        <v>582.9</v>
      </c>
      <c r="Y58" s="75">
        <v>0</v>
      </c>
      <c r="Z58" s="59">
        <f>SUM(D58:Y58)-SUM(H58,I58,L58,M58,N58,V58,Y58)</f>
        <v>8097</v>
      </c>
    </row>
    <row r="59" spans="1:26" s="33" customFormat="1" ht="12" thickBot="1">
      <c r="A59" s="49" t="s">
        <v>202</v>
      </c>
      <c r="B59" s="48" t="s">
        <v>201</v>
      </c>
      <c r="C59" s="50">
        <v>2002</v>
      </c>
      <c r="D59" s="60">
        <v>0</v>
      </c>
      <c r="E59" s="52">
        <v>0</v>
      </c>
      <c r="F59" s="56">
        <f>ROUND(1246898/(29*60+40),1)</f>
        <v>700.5</v>
      </c>
      <c r="G59" s="57">
        <f>ROUND(1618380/(39*60+43),1)</f>
        <v>679.1</v>
      </c>
      <c r="H59" s="57">
        <f>ROUND(700551/(16*60+17),1)</f>
        <v>717</v>
      </c>
      <c r="I59" s="52">
        <v>0</v>
      </c>
      <c r="J59" s="55">
        <v>0</v>
      </c>
      <c r="K59" s="57">
        <f>ROUND(1119011/(24*60+46),1)</f>
        <v>753</v>
      </c>
      <c r="L59" s="53">
        <f>ROUND(902932/(22*60+31),1)</f>
        <v>668.3</v>
      </c>
      <c r="M59" s="52">
        <v>0</v>
      </c>
      <c r="N59" s="55">
        <v>0</v>
      </c>
      <c r="O59" s="56">
        <f>ROUND(448960/(9*60+19),1)</f>
        <v>803.1</v>
      </c>
      <c r="P59" s="56">
        <f>ROUND(778390/(17*60+17),1)</f>
        <v>750.6</v>
      </c>
      <c r="Q59" s="57">
        <f>ROUND(498569/(10*60+46),1)</f>
        <v>771.8</v>
      </c>
      <c r="R59" s="52">
        <v>0</v>
      </c>
      <c r="S59" s="76">
        <v>0</v>
      </c>
      <c r="T59" s="76">
        <v>0</v>
      </c>
      <c r="U59" s="56">
        <f>ROUND(1278870/(30*60+19),1)</f>
        <v>703.1</v>
      </c>
      <c r="V59" s="56">
        <f>ROUND(3380000/(79*60+37),1)</f>
        <v>707.6</v>
      </c>
      <c r="W59" s="52">
        <v>0</v>
      </c>
      <c r="X59" s="56">
        <v>0</v>
      </c>
      <c r="Y59" s="58">
        <f>ROUND(778390/(17*60+56),1)</f>
        <v>723.4</v>
      </c>
      <c r="Z59" s="59">
        <f>SUM(D59:Y59)-SUM(D59,E59,I59,J59,M59,N59,R59)</f>
        <v>7977.500000000001</v>
      </c>
    </row>
    <row r="60" spans="1:26" s="33" customFormat="1" ht="12" thickBot="1">
      <c r="A60" s="49" t="s">
        <v>204</v>
      </c>
      <c r="B60" s="48" t="s">
        <v>203</v>
      </c>
      <c r="C60" s="50">
        <v>1994</v>
      </c>
      <c r="D60" s="71">
        <f>ROUND(840661/(25*60+32),1)</f>
        <v>548.7</v>
      </c>
      <c r="E60" s="53">
        <f>ROUND(778390/(24*60+33),1)</f>
        <v>528.4</v>
      </c>
      <c r="F60" s="53">
        <f>ROUND(1246898/(38*60+23),1)</f>
        <v>541.4</v>
      </c>
      <c r="G60" s="66">
        <f>ROUND(1618380/(51*60+11),1)</f>
        <v>527</v>
      </c>
      <c r="H60" s="57">
        <f>ROUND(700551/(19*60+31),1)</f>
        <v>598.3</v>
      </c>
      <c r="I60" s="56">
        <f>ROUND(1640090/(48*60+22),1)</f>
        <v>565.2</v>
      </c>
      <c r="J60" s="55">
        <v>0</v>
      </c>
      <c r="K60" s="57">
        <f>ROUND(1119011/(33*60+41),1)</f>
        <v>553.7</v>
      </c>
      <c r="L60" s="53">
        <f>ROUND(902932/(27*60+22),1)</f>
        <v>549.9</v>
      </c>
      <c r="M60" s="56">
        <f>ROUND(1055068/(31*60+54),1)</f>
        <v>551.2</v>
      </c>
      <c r="N60" s="54">
        <f>ROUND(11584000/21224,1)</f>
        <v>545.8</v>
      </c>
      <c r="O60" s="56">
        <f>ROUND(448960/(13*60+16.4),1)</f>
        <v>563.7</v>
      </c>
      <c r="P60" s="57">
        <f>ROUND(778390/(22*60+48),1)</f>
        <v>569</v>
      </c>
      <c r="Q60" s="57">
        <f>ROUND(498569/(14*60+37),1)</f>
        <v>568.5</v>
      </c>
      <c r="R60" s="56">
        <f>ROUND(448960/(11*60+43),1)</f>
        <v>638.6</v>
      </c>
      <c r="S60" s="55">
        <v>0</v>
      </c>
      <c r="T60" s="61">
        <f>ROUND(1339616/(44*60+45),1)</f>
        <v>498.9</v>
      </c>
      <c r="U60" s="52">
        <v>0</v>
      </c>
      <c r="V60" s="52">
        <v>0</v>
      </c>
      <c r="W60" s="52">
        <v>0</v>
      </c>
      <c r="X60" s="52">
        <v>0</v>
      </c>
      <c r="Y60" s="67">
        <f>ROUND(778390/(27*60+38),1)</f>
        <v>469.5</v>
      </c>
      <c r="Z60" s="59">
        <f>SUM(D60:Y60)-SUM(J60,S60,T60,U60,V60,X60,Y60)</f>
        <v>7849.4</v>
      </c>
    </row>
    <row r="61" spans="1:26" s="33" customFormat="1" ht="12" thickBot="1">
      <c r="A61" s="49" t="s">
        <v>206</v>
      </c>
      <c r="B61" s="48" t="s">
        <v>205</v>
      </c>
      <c r="C61" s="63">
        <v>1986</v>
      </c>
      <c r="D61" s="60">
        <v>0</v>
      </c>
      <c r="E61" s="52">
        <v>0</v>
      </c>
      <c r="F61" s="52">
        <v>0</v>
      </c>
      <c r="G61" s="54">
        <f>ROUND(1561990/(48*60+35),1)</f>
        <v>535.8</v>
      </c>
      <c r="H61" s="57">
        <f>ROUND(680148/(19*60+27),1)</f>
        <v>582.8</v>
      </c>
      <c r="I61" s="56">
        <f>ROUND(1640090/(46*60+17),1)</f>
        <v>590.6</v>
      </c>
      <c r="J61" s="55">
        <v>0</v>
      </c>
      <c r="K61" s="57">
        <f>ROUND(1082113/(31*60+16),1)</f>
        <v>576.8</v>
      </c>
      <c r="L61" s="56">
        <f>ROUND(876635/(25*60+6),1)</f>
        <v>582.1</v>
      </c>
      <c r="M61" s="53">
        <f>ROUND(1020278/(30*60+16),1)</f>
        <v>561.8</v>
      </c>
      <c r="N61" s="54">
        <f>ROUND(12772000/22147,1)</f>
        <v>576.7</v>
      </c>
      <c r="O61" s="56">
        <f>ROUND(438100/(11*60+49),1)</f>
        <v>617.9</v>
      </c>
      <c r="P61" s="56">
        <f>ROUND(755720/(21*60+36),1)</f>
        <v>583.1</v>
      </c>
      <c r="Q61" s="57">
        <f>ROUND(486119/(14*60+11),1)</f>
        <v>571.2</v>
      </c>
      <c r="R61" s="56">
        <f>ROUND(438100/(11*60+3),1)</f>
        <v>660.8</v>
      </c>
      <c r="S61" s="55">
        <v>0</v>
      </c>
      <c r="T61" s="55">
        <v>0</v>
      </c>
      <c r="U61" s="52">
        <v>0</v>
      </c>
      <c r="V61" s="56">
        <v>0</v>
      </c>
      <c r="W61" s="52">
        <v>0</v>
      </c>
      <c r="X61" s="56">
        <f>ROUND(474040/(13*60+48),1)</f>
        <v>572.5</v>
      </c>
      <c r="Y61" s="58">
        <f>ROUND(755720/(23*60+32),1)</f>
        <v>535.2</v>
      </c>
      <c r="Z61" s="80">
        <f>SUM(D61:Y61)-SUM(D61,E61,F61,J61,S61,T61,U61)</f>
        <v>7547.299999999999</v>
      </c>
    </row>
    <row r="62" spans="1:26" s="33" customFormat="1" ht="12" thickBot="1">
      <c r="A62" s="49" t="s">
        <v>29</v>
      </c>
      <c r="B62" s="48" t="s">
        <v>207</v>
      </c>
      <c r="C62" s="50">
        <v>1964</v>
      </c>
      <c r="D62" s="60">
        <v>0</v>
      </c>
      <c r="E62" s="52">
        <v>0</v>
      </c>
      <c r="F62" s="53">
        <f>ROUND(1577209/(57*60+33),1)</f>
        <v>456.8</v>
      </c>
      <c r="G62" s="61">
        <f>ROUND(2041630/(73*60+5),1)</f>
        <v>465.6</v>
      </c>
      <c r="H62" s="57">
        <f>ROUND(889992/(29*60+26),1)</f>
        <v>504</v>
      </c>
      <c r="I62" s="56">
        <f>ROUND(2143712/(67*60+5),1)</f>
        <v>532.6</v>
      </c>
      <c r="J62" s="66">
        <f>ROUND(1868091/(69*60+53),1)</f>
        <v>445.5</v>
      </c>
      <c r="K62" s="57">
        <f>ROUND(1415444/(44*60+23),1)</f>
        <v>531.5</v>
      </c>
      <c r="L62" s="52">
        <v>0</v>
      </c>
      <c r="M62" s="56">
        <f>ROUND(1334561/(43*60+30),1)</f>
        <v>511.3</v>
      </c>
      <c r="N62" s="55">
        <v>0</v>
      </c>
      <c r="O62" s="56">
        <f>ROUND(573530/(15*60+56.6),1)</f>
        <v>599.6</v>
      </c>
      <c r="P62" s="56">
        <f>ROUND(988880/(29*60+12),1)</f>
        <v>564.4</v>
      </c>
      <c r="Q62" s="57">
        <f>ROUND(626246/(19*60+56),1)</f>
        <v>523.6</v>
      </c>
      <c r="R62" s="56">
        <f>ROUND(573530/(15*60+13),1)</f>
        <v>628.2</v>
      </c>
      <c r="S62" s="54">
        <f>ROUND(1939549/(59*60+26),1)</f>
        <v>543.9</v>
      </c>
      <c r="T62" s="57">
        <f>ROUND(1694448/(54*60+38),1)</f>
        <v>516.9</v>
      </c>
      <c r="U62" s="56">
        <f>ROUND(1617650/(48*60+39),1)</f>
        <v>554.2</v>
      </c>
      <c r="V62" s="52">
        <v>0</v>
      </c>
      <c r="W62" s="52">
        <v>0</v>
      </c>
      <c r="X62" s="56">
        <f>ROUND(620080/(17*60+56),1)</f>
        <v>576.3</v>
      </c>
      <c r="Y62" s="75">
        <v>0</v>
      </c>
      <c r="Z62" s="59">
        <f>SUM(D62:Y62)-SUM(D62,E62,G62,L62,N62,V62,Y62)</f>
        <v>7488.799999999999</v>
      </c>
    </row>
    <row r="63" spans="1:26" s="33" customFormat="1" ht="12" thickBot="1">
      <c r="A63" s="49" t="s">
        <v>209</v>
      </c>
      <c r="B63" s="48" t="s">
        <v>208</v>
      </c>
      <c r="C63" s="50">
        <v>1971</v>
      </c>
      <c r="D63" s="60">
        <v>0</v>
      </c>
      <c r="E63" s="52">
        <v>0</v>
      </c>
      <c r="F63" s="56">
        <f>ROUND(1508423/(48*60+14),1)</f>
        <v>521.2</v>
      </c>
      <c r="G63" s="54">
        <f>ROUND(1952790/(66*60+11),1)</f>
        <v>491.8</v>
      </c>
      <c r="H63" s="54">
        <f>ROUND(851112/(26*60+55),1)</f>
        <v>527</v>
      </c>
      <c r="I63" s="52">
        <v>0</v>
      </c>
      <c r="J63" s="55">
        <v>0</v>
      </c>
      <c r="K63" s="54">
        <f>ROUND(1353713/(37*60+42),1)</f>
        <v>598.5</v>
      </c>
      <c r="L63" s="52">
        <v>0</v>
      </c>
      <c r="M63" s="57">
        <f>ROUND(1276358/(39*60+43),1)</f>
        <v>535.6</v>
      </c>
      <c r="N63" s="55">
        <v>0</v>
      </c>
      <c r="O63" s="53">
        <f>ROUND(548340/(14*60+56.2),1)</f>
        <v>611.9</v>
      </c>
      <c r="P63" s="54">
        <f>ROUND(945680/(26*60+11),1)</f>
        <v>602</v>
      </c>
      <c r="Q63" s="54">
        <f>ROUND(598755/(16*60+57),1)</f>
        <v>588.7</v>
      </c>
      <c r="R63" s="52">
        <v>0</v>
      </c>
      <c r="S63" s="54">
        <f>ROUND(1855151/(50*60+45),1)</f>
        <v>609.2</v>
      </c>
      <c r="T63" s="54">
        <f>ROUND(1620587/(48*60+21),1)</f>
        <v>558.6</v>
      </c>
      <c r="U63" s="56">
        <f>ROUND(1547100/(41*60+26),1)</f>
        <v>622.3</v>
      </c>
      <c r="V63" s="53">
        <v>0</v>
      </c>
      <c r="W63" s="52">
        <v>0</v>
      </c>
      <c r="X63" s="53">
        <f>ROUND(592860/(15*60+50),1)</f>
        <v>624.1</v>
      </c>
      <c r="Y63" s="65">
        <f>ROUND(945680/(27*60+17),1)</f>
        <v>577.7</v>
      </c>
      <c r="Z63" s="81">
        <f>SUM(D63:Y63)-SUM(D63,E63,I63,J63,L63,N63,R63)</f>
        <v>7468.6</v>
      </c>
    </row>
    <row r="64" spans="1:26" s="33" customFormat="1" ht="12" thickBot="1">
      <c r="A64" s="82" t="s">
        <v>211</v>
      </c>
      <c r="B64" s="48" t="s">
        <v>210</v>
      </c>
      <c r="C64" s="50">
        <v>1959</v>
      </c>
      <c r="D64" s="71">
        <f>ROUND(980932/(28*60+5),1)</f>
        <v>582.2</v>
      </c>
      <c r="E64" s="53">
        <f>ROUND(908270/(26*60+4),1)</f>
        <v>580.7</v>
      </c>
      <c r="F64" s="53">
        <f>ROUND(1449718/(39*60+52),1)</f>
        <v>606.1</v>
      </c>
      <c r="G64" s="54">
        <f>ROUND(1878340/(53*60+2),1)</f>
        <v>590.3</v>
      </c>
      <c r="H64" s="54">
        <f>ROUND(817443/(22*60+34),1)</f>
        <v>603.7</v>
      </c>
      <c r="I64" s="56">
        <f>ROUND(1972257/(52*60+3),1)</f>
        <v>631.5</v>
      </c>
      <c r="J64" s="54">
        <f>ROUND(1718681/(53*60+12),1)</f>
        <v>538.4</v>
      </c>
      <c r="K64" s="57">
        <f>ROUND(1301029/(33*60+45),1)</f>
        <v>642.5</v>
      </c>
      <c r="L64" s="57">
        <f>ROUND(1053593/(28*60+14),1)</f>
        <v>622</v>
      </c>
      <c r="M64" s="54">
        <f>ROUND(1226684/(33*60+5),1)</f>
        <v>618</v>
      </c>
      <c r="N64" s="57">
        <f>ROUND(11820000/18433,1)</f>
        <v>641.2</v>
      </c>
      <c r="O64" s="56">
        <f>ROUND(526760/(13*60+47.9),1)</f>
        <v>636.3</v>
      </c>
      <c r="P64" s="52">
        <v>0</v>
      </c>
      <c r="Q64" s="55">
        <v>0</v>
      </c>
      <c r="R64" s="52">
        <v>0</v>
      </c>
      <c r="S64" s="55">
        <v>0</v>
      </c>
      <c r="T64" s="55">
        <v>0</v>
      </c>
      <c r="U64" s="55">
        <v>0</v>
      </c>
      <c r="V64" s="52">
        <v>0</v>
      </c>
      <c r="W64" s="52">
        <v>0</v>
      </c>
      <c r="X64" s="56">
        <v>0</v>
      </c>
      <c r="Y64" s="83">
        <v>0</v>
      </c>
      <c r="Z64" s="59">
        <f>SUM(D64:Y64)-SUM(P64,Q64,R64,S64,T64,U64,V64)</f>
        <v>7292.9</v>
      </c>
    </row>
    <row r="65" spans="1:26" s="33" customFormat="1" ht="12" thickBot="1">
      <c r="A65" s="49" t="s">
        <v>34</v>
      </c>
      <c r="B65" s="48" t="s">
        <v>212</v>
      </c>
      <c r="C65" s="50">
        <v>1965</v>
      </c>
      <c r="D65" s="51">
        <f>ROUND(1067990/(39*60+32),1)</f>
        <v>450.2</v>
      </c>
      <c r="E65" s="53">
        <f>ROUND(988880/(35*60+2),1)</f>
        <v>470.4</v>
      </c>
      <c r="F65" s="53">
        <f>ROUND(1577209/(53*60+41),1)</f>
        <v>489.7</v>
      </c>
      <c r="G65" s="54">
        <f>ROUND(2041630/(70*60+51),1)</f>
        <v>480.3</v>
      </c>
      <c r="H65" s="57">
        <f>ROUND(889992/(29*60+34),1)</f>
        <v>501.7</v>
      </c>
      <c r="I65" s="56">
        <f>ROUND(2143712/(70*60+10),1)</f>
        <v>509.2</v>
      </c>
      <c r="J65" s="55">
        <v>0</v>
      </c>
      <c r="K65" s="57">
        <f>ROUND(1415444/(44*60+18),1)</f>
        <v>532.5</v>
      </c>
      <c r="L65" s="52">
        <v>0</v>
      </c>
      <c r="M65" s="52">
        <v>0</v>
      </c>
      <c r="N65" s="57">
        <f>ROUND(9331000/17051,1)</f>
        <v>547.2</v>
      </c>
      <c r="O65" s="56">
        <f>ROUND(573530/(17*60+56.4),1)</f>
        <v>532.8</v>
      </c>
      <c r="P65" s="57">
        <f>ROUND(988880/(31*60+49),1)</f>
        <v>518</v>
      </c>
      <c r="Q65" s="55">
        <v>0</v>
      </c>
      <c r="R65" s="56">
        <f>ROUND(573530/(16*60+42),1)</f>
        <v>572.4</v>
      </c>
      <c r="S65" s="54">
        <f>ROUND(1939549/(64*60+15),1)</f>
        <v>503.1</v>
      </c>
      <c r="T65" s="57">
        <f>ROUND(1694448/(57*60+12),1)</f>
        <v>493.7</v>
      </c>
      <c r="U65" s="52">
        <v>0</v>
      </c>
      <c r="V65" s="52">
        <v>0</v>
      </c>
      <c r="W65" s="52">
        <v>0</v>
      </c>
      <c r="X65" s="56">
        <f>ROUND(620080/(19*60+15),1)</f>
        <v>536.9</v>
      </c>
      <c r="Y65" s="58">
        <f>ROUND(988880/(32*60+43),1)</f>
        <v>503.8</v>
      </c>
      <c r="Z65" s="81">
        <f>SUM(D65:Y65)-SUM(D65,J65,L65,M65,Q65,U65,V65)</f>
        <v>7191.7</v>
      </c>
    </row>
    <row r="66" spans="1:26" s="33" customFormat="1" ht="12" thickBot="1">
      <c r="A66" s="85" t="s">
        <v>214</v>
      </c>
      <c r="B66" s="84" t="s">
        <v>213</v>
      </c>
      <c r="C66" s="86">
        <v>1960</v>
      </c>
      <c r="D66" s="87">
        <f>ROUND(980932/(30*60+51),1)</f>
        <v>529.9</v>
      </c>
      <c r="E66" s="88">
        <v>0</v>
      </c>
      <c r="F66" s="88">
        <v>0</v>
      </c>
      <c r="G66" s="89">
        <v>0</v>
      </c>
      <c r="H66" s="89">
        <v>0</v>
      </c>
      <c r="I66" s="88">
        <v>0</v>
      </c>
      <c r="J66" s="89">
        <v>0</v>
      </c>
      <c r="K66" s="89">
        <v>0</v>
      </c>
      <c r="L66" s="90">
        <v>0</v>
      </c>
      <c r="M66" s="91">
        <f>ROUND(1226684/(35*60+43),1)</f>
        <v>572.4</v>
      </c>
      <c r="N66" s="91">
        <f>ROUND(11607000/18433,1)</f>
        <v>629.7</v>
      </c>
      <c r="O66" s="91">
        <f>ROUND(526760/(14*60+2.8),1)</f>
        <v>625</v>
      </c>
      <c r="P66" s="90">
        <f>ROUND(908270/(25*60+13),1)</f>
        <v>600.3</v>
      </c>
      <c r="Q66" s="91">
        <f>ROUND(584422/(17*60+2),1)</f>
        <v>571.8</v>
      </c>
      <c r="R66" s="90">
        <f>ROUND(526760/(13*60+0),1)</f>
        <v>675.3</v>
      </c>
      <c r="S66" s="92">
        <f>ROUND(1784423/(50*60+5),1)</f>
        <v>593.8</v>
      </c>
      <c r="T66" s="91">
        <f>ROUND(1557517/(46*60+9),1)</f>
        <v>562.5</v>
      </c>
      <c r="U66" s="91">
        <f>ROUND(1486890/(40*60+45),1)</f>
        <v>608.1</v>
      </c>
      <c r="V66" s="90">
        <v>0</v>
      </c>
      <c r="W66" s="88">
        <v>0</v>
      </c>
      <c r="X66" s="90">
        <f>ROUND(569900/(15*60+31),1)</f>
        <v>612.1</v>
      </c>
      <c r="Y66" s="93">
        <f>ROUND(908270/(26*60+58),1)</f>
        <v>561.4</v>
      </c>
      <c r="Z66" s="94">
        <f>SUM(D66:Y66)-SUM(E66,F66,G66,H66,I66,J66,K66)</f>
        <v>7142.300000000001</v>
      </c>
    </row>
    <row r="67" spans="1:26" s="33" customFormat="1" ht="12" thickBot="1">
      <c r="A67" s="73" t="s">
        <v>77</v>
      </c>
      <c r="B67" s="48" t="s">
        <v>215</v>
      </c>
      <c r="C67" s="50">
        <v>1940</v>
      </c>
      <c r="D67" s="60">
        <v>0</v>
      </c>
      <c r="E67" s="52">
        <f>ROUND(1127940/(47*60+46),1)</f>
        <v>393.6</v>
      </c>
      <c r="F67" s="66">
        <f>ROUND(1800835/(74*60+23),1)</f>
        <v>403.5</v>
      </c>
      <c r="G67" s="55">
        <v>0</v>
      </c>
      <c r="H67" s="54">
        <f>ROUND(1015146/(37*60+4),1)</f>
        <v>456.5</v>
      </c>
      <c r="I67" s="54">
        <f>ROUND(2450322/(82*60+8),1)</f>
        <v>497.2</v>
      </c>
      <c r="J67" s="54">
        <f>ROUND(2135281/(87*60+15),1)</f>
        <v>407.9</v>
      </c>
      <c r="K67" s="54">
        <f>ROUND(1616134/(49*60+10),1)</f>
        <v>547.8</v>
      </c>
      <c r="L67" s="52">
        <v>0</v>
      </c>
      <c r="M67" s="54">
        <f>ROUND(1523783/(49*60+45),1)</f>
        <v>510.5</v>
      </c>
      <c r="N67" s="55">
        <v>0</v>
      </c>
      <c r="O67" s="53">
        <f>ROUND(654650/(21*60+4.3),1)</f>
        <v>517.8</v>
      </c>
      <c r="P67" s="53">
        <f>ROUND(1127940/(36*60+51),1)</f>
        <v>510.1</v>
      </c>
      <c r="Q67" s="54">
        <f>ROUND(726144/(23*60+48),1)</f>
        <v>508.5</v>
      </c>
      <c r="R67" s="56">
        <f>ROUND(654650/(19*60+23),1)</f>
        <v>562.9</v>
      </c>
      <c r="S67" s="54">
        <f>ROUND(2216978/(69*60+41),1)</f>
        <v>530.3</v>
      </c>
      <c r="T67" s="54">
        <f>ROUND(1934743/(64*60+13),1)</f>
        <v>502.1</v>
      </c>
      <c r="U67" s="53">
        <f>ROUND(1847010/(59*60+28),1)</f>
        <v>517.7</v>
      </c>
      <c r="V67" s="55">
        <v>0</v>
      </c>
      <c r="W67" s="52">
        <v>0</v>
      </c>
      <c r="X67" s="54">
        <f>ROUND(708100/(21*60+40),1)</f>
        <v>544.7</v>
      </c>
      <c r="Y67" s="75">
        <v>0</v>
      </c>
      <c r="Z67" s="59">
        <f>SUM(D67:Y67)-SUM(D67,E67,G67,L67,N67,V67,Y67)</f>
        <v>7017.5</v>
      </c>
    </row>
    <row r="68" spans="1:26" s="33" customFormat="1" ht="12" thickBot="1">
      <c r="A68" s="49" t="s">
        <v>198</v>
      </c>
      <c r="B68" s="48" t="s">
        <v>216</v>
      </c>
      <c r="C68" s="50">
        <v>2002</v>
      </c>
      <c r="D68" s="60">
        <v>0</v>
      </c>
      <c r="E68" s="52">
        <v>0</v>
      </c>
      <c r="F68" s="52">
        <v>0</v>
      </c>
      <c r="G68" s="52">
        <v>0</v>
      </c>
      <c r="H68" s="57">
        <f>ROUND(700551/(22*60+5),1)</f>
        <v>528.7</v>
      </c>
      <c r="I68" s="52">
        <v>0</v>
      </c>
      <c r="J68" s="55">
        <v>0</v>
      </c>
      <c r="K68" s="55">
        <v>0</v>
      </c>
      <c r="L68" s="56">
        <f>ROUND(902932/(27*60+29),1)</f>
        <v>547.6</v>
      </c>
      <c r="M68" s="95">
        <v>0</v>
      </c>
      <c r="N68" s="57">
        <f>ROUND(10027000/21224,1)</f>
        <v>472.4</v>
      </c>
      <c r="O68" s="57">
        <f>ROUND(448960/(11*60+53.8),1)</f>
        <v>629</v>
      </c>
      <c r="P68" s="56">
        <f>ROUND(778390/(31*60+52),1)</f>
        <v>407.1</v>
      </c>
      <c r="Q68" s="57">
        <f>ROUND(498569/(13*60+42),1)</f>
        <v>606.5</v>
      </c>
      <c r="R68" s="56">
        <f>ROUND(448960/(11*60+22),1)</f>
        <v>658.3</v>
      </c>
      <c r="S68" s="57">
        <f>ROUND(1537461/(44*60+6),1)</f>
        <v>581.1</v>
      </c>
      <c r="T68" s="57">
        <f>ROUND(1339616/(38*60+9),1)</f>
        <v>585.2</v>
      </c>
      <c r="U68" s="56">
        <f>ROUND(1278870/(34*60+55),1)</f>
        <v>610.4</v>
      </c>
      <c r="V68" s="56">
        <v>0</v>
      </c>
      <c r="W68" s="52">
        <v>0</v>
      </c>
      <c r="X68" s="56">
        <f>ROUND(486180/(16*60+32),1)</f>
        <v>490.1</v>
      </c>
      <c r="Y68" s="58">
        <f>ROUND(778390/(24*60+43),1)</f>
        <v>524.9</v>
      </c>
      <c r="Z68" s="59">
        <f>SUM(D68:Y68)-SUM(D68,E68,F68,G68,I68,J68,K68)</f>
        <v>6641.3</v>
      </c>
    </row>
    <row r="69" spans="1:26" s="33" customFormat="1" ht="12" thickBot="1">
      <c r="A69" s="49" t="s">
        <v>218</v>
      </c>
      <c r="B69" s="48" t="s">
        <v>217</v>
      </c>
      <c r="C69" s="50">
        <v>1965</v>
      </c>
      <c r="D69" s="71">
        <f>ROUND(941285/(30*60+24),1)</f>
        <v>516.1</v>
      </c>
      <c r="E69" s="52">
        <v>0</v>
      </c>
      <c r="F69" s="52">
        <v>0</v>
      </c>
      <c r="G69" s="54">
        <f>ROUND(1802200/(62*60+42),1)</f>
        <v>479.1</v>
      </c>
      <c r="H69" s="54">
        <f>ROUND(784404/(25*60+28),1)</f>
        <v>513.4</v>
      </c>
      <c r="I69" s="53">
        <f>ROUND(1892310/(56*60+42),1)</f>
        <v>556.2</v>
      </c>
      <c r="J69" s="54">
        <f>ROUND(1649013/(57*60+52),1)</f>
        <v>474.9</v>
      </c>
      <c r="K69" s="57">
        <f>ROUND(1248336/(36*60+5),1)</f>
        <v>576.6</v>
      </c>
      <c r="L69" s="56">
        <f>ROUND(1011010/(30*60+32),1)</f>
        <v>551.9</v>
      </c>
      <c r="M69" s="57">
        <f>ROUND(1177003/(34*60+55),1)</f>
        <v>561.8</v>
      </c>
      <c r="N69" s="57">
        <f>ROUND(11719000/19208,1)</f>
        <v>610.1</v>
      </c>
      <c r="O69" s="56">
        <f>ROUND(505410/(13*60+49),1)</f>
        <v>609.7</v>
      </c>
      <c r="P69" s="56">
        <f>ROUND(871560/(25*60+16),1)</f>
        <v>574.9</v>
      </c>
      <c r="Q69" s="57">
        <f>ROUND(560754/(16*60+24),1)</f>
        <v>569.9</v>
      </c>
      <c r="R69" s="52">
        <v>0</v>
      </c>
      <c r="S69" s="55">
        <v>0</v>
      </c>
      <c r="T69" s="55">
        <v>0</v>
      </c>
      <c r="U69" s="52">
        <v>0</v>
      </c>
      <c r="V69" s="52">
        <v>0</v>
      </c>
      <c r="W69" s="52">
        <v>0</v>
      </c>
      <c r="X69" s="56">
        <v>0</v>
      </c>
      <c r="Y69" s="58">
        <v>0</v>
      </c>
      <c r="Z69" s="59">
        <f>SUM(D69:Y69)-SUM(E69,F69,R69,S69,T69,U69,V69)</f>
        <v>6594.599999999999</v>
      </c>
    </row>
    <row r="70" spans="1:26" s="33" customFormat="1" ht="12" thickBot="1">
      <c r="A70" s="49" t="s">
        <v>220</v>
      </c>
      <c r="B70" s="48" t="s">
        <v>219</v>
      </c>
      <c r="C70" s="50">
        <v>1956</v>
      </c>
      <c r="D70" s="71">
        <f>ROUND(1026076/(39*60+6),1)</f>
        <v>437.4</v>
      </c>
      <c r="E70" s="56">
        <f>ROUND(950070/(34*60+25),1)</f>
        <v>460.1</v>
      </c>
      <c r="F70" s="53">
        <f>ROUND(1516535/(55*60+12),1)</f>
        <v>457.9</v>
      </c>
      <c r="G70" s="66">
        <f>ROUND(1965010/(77*60+48),1)</f>
        <v>421</v>
      </c>
      <c r="H70" s="54">
        <f>ROUND(855063/(33*60+23),1)</f>
        <v>426.9</v>
      </c>
      <c r="I70" s="56">
        <f>ROUND(2063261/(75*60+6),1)</f>
        <v>457.9</v>
      </c>
      <c r="J70" s="61">
        <f>ROUND(1797984/(86*60+30),1)</f>
        <v>346.4</v>
      </c>
      <c r="K70" s="57">
        <f>ROUND(1360993/(47*60+26),1)</f>
        <v>478.2</v>
      </c>
      <c r="L70" s="56">
        <f>ROUND(1102081/(37*60+39),1)</f>
        <v>487.9</v>
      </c>
      <c r="M70" s="54">
        <f>ROUND(1283222/(47*60+38),1)</f>
        <v>449</v>
      </c>
      <c r="N70" s="55">
        <v>0</v>
      </c>
      <c r="O70" s="56">
        <f>ROUND(551070/(18*60+35.3),1)</f>
        <v>494.1</v>
      </c>
      <c r="P70" s="52">
        <f>ROUND(950070/(39*60+56),1)</f>
        <v>396.5</v>
      </c>
      <c r="Q70" s="55">
        <v>0</v>
      </c>
      <c r="R70" s="56">
        <f>ROUND(551070/(16*60+25),1)</f>
        <v>559.5</v>
      </c>
      <c r="S70" s="54">
        <f>ROUND(1866760/(68*60+29),1)</f>
        <v>454.3</v>
      </c>
      <c r="T70" s="61">
        <f>ROUND(1629302/(69*60+20),1)</f>
        <v>391.7</v>
      </c>
      <c r="U70" s="57">
        <f>ROUND(1555420/(55*60+11),1)</f>
        <v>469.8</v>
      </c>
      <c r="V70" s="52">
        <v>0</v>
      </c>
      <c r="W70" s="52">
        <v>0</v>
      </c>
      <c r="X70" s="56">
        <f>ROUND(596170/(20*60+12),1)</f>
        <v>491.9</v>
      </c>
      <c r="Y70" s="75">
        <v>0</v>
      </c>
      <c r="Z70" s="59">
        <f>SUM(D70:Y70)-SUM(J70,N70,P70,Q70,T70,V70,Y70)</f>
        <v>6545.9000000000015</v>
      </c>
    </row>
    <row r="71" spans="1:26" s="33" customFormat="1" ht="12" thickBot="1">
      <c r="A71" s="49" t="s">
        <v>222</v>
      </c>
      <c r="B71" s="48" t="s">
        <v>221</v>
      </c>
      <c r="C71" s="50">
        <v>1986</v>
      </c>
      <c r="D71" s="74">
        <f>ROUND(816178/(23*60+57),1)</f>
        <v>568</v>
      </c>
      <c r="E71" s="53">
        <f>ROUND(755720/(21*60+54),1)</f>
        <v>575.1</v>
      </c>
      <c r="F71" s="53">
        <f>ROUND(1205783/(34*60+3),1)</f>
        <v>590.2</v>
      </c>
      <c r="G71" s="54">
        <f>ROUND(1561990/(45*60+12),1)</f>
        <v>576</v>
      </c>
      <c r="H71" s="57">
        <f>ROUND(680148/(18*60+17),1)</f>
        <v>620</v>
      </c>
      <c r="I71" s="56">
        <f>ROUND(1640090/(44*60+15),1)</f>
        <v>617.7</v>
      </c>
      <c r="J71" s="54">
        <f>ROUND(1429221/(45*60+13),1)</f>
        <v>526.8</v>
      </c>
      <c r="K71" s="57">
        <f>ROUND(1082113/(28*60+14),1)</f>
        <v>638.8</v>
      </c>
      <c r="L71" s="56">
        <f>ROUND(876635/(23*60+33),1)</f>
        <v>620.4</v>
      </c>
      <c r="M71" s="52">
        <v>0</v>
      </c>
      <c r="N71" s="55">
        <v>0</v>
      </c>
      <c r="O71" s="52">
        <v>0</v>
      </c>
      <c r="P71" s="52">
        <v>0</v>
      </c>
      <c r="Q71" s="55">
        <v>0</v>
      </c>
      <c r="R71" s="52">
        <v>0</v>
      </c>
      <c r="S71" s="55">
        <v>0</v>
      </c>
      <c r="T71" s="76">
        <v>0</v>
      </c>
      <c r="U71" s="56">
        <f>ROUND(1236700/(33*60+34),1)</f>
        <v>614.1</v>
      </c>
      <c r="V71" s="56">
        <f>ROUND(3240960/(92*60+5),1)</f>
        <v>586.6</v>
      </c>
      <c r="W71" s="52">
        <v>0</v>
      </c>
      <c r="X71" s="56">
        <v>0</v>
      </c>
      <c r="Y71" s="83">
        <v>0</v>
      </c>
      <c r="Z71" s="59">
        <f>SUM(D71:Y71)-SUM(M71,N71,O71,P71,Q71,R71,S71)</f>
        <v>6533.700000000001</v>
      </c>
    </row>
    <row r="72" spans="1:26" s="33" customFormat="1" ht="12" thickBot="1">
      <c r="A72" s="49" t="s">
        <v>224</v>
      </c>
      <c r="B72" s="48" t="s">
        <v>223</v>
      </c>
      <c r="C72" s="50">
        <v>1980</v>
      </c>
      <c r="D72" s="60">
        <f>ROUND(940972/(40*60+29),1)</f>
        <v>387.4</v>
      </c>
      <c r="E72" s="64">
        <f>ROUND(871270/(35*60+13),1)</f>
        <v>412.3</v>
      </c>
      <c r="F72" s="53">
        <f>ROUND(1389921/(55*60+53),1)</f>
        <v>414.5</v>
      </c>
      <c r="G72" s="61">
        <f>ROUND(1799680/(73*60+50),1)</f>
        <v>406.2</v>
      </c>
      <c r="H72" s="54">
        <f>ROUND(784143/(29*60+9),1)</f>
        <v>448.3</v>
      </c>
      <c r="I72" s="52">
        <v>0</v>
      </c>
      <c r="J72" s="61">
        <f>ROUND(1646707/(80*60+30),1)</f>
        <v>340.9</v>
      </c>
      <c r="K72" s="54">
        <f>ROUND(1247365/(45*60+50),1)</f>
        <v>453.6</v>
      </c>
      <c r="L72" s="56">
        <f>ROUND(1010673/(37*60+54),1)</f>
        <v>444.4</v>
      </c>
      <c r="M72" s="55">
        <v>0</v>
      </c>
      <c r="N72" s="54">
        <f>ROUND(8661000/19328,1)</f>
        <v>448.1</v>
      </c>
      <c r="O72" s="53">
        <f>ROUND(504970/(17*60+59.8),1)</f>
        <v>467.7</v>
      </c>
      <c r="P72" s="53">
        <f>ROUND(871270/(32*60+41),1)</f>
        <v>444.3</v>
      </c>
      <c r="Q72" s="54">
        <f>ROUND(559923/(21*60+19),1)</f>
        <v>437.8</v>
      </c>
      <c r="R72" s="56">
        <f>ROUND(504970/(16*60+43),1)</f>
        <v>503.5</v>
      </c>
      <c r="S72" s="54">
        <f>ROUND(1709696/(62*60+12),1)</f>
        <v>458.1</v>
      </c>
      <c r="T72" s="54">
        <f>ROUND(1493274/(57*60+0),1)</f>
        <v>436.6</v>
      </c>
      <c r="U72" s="56">
        <f>ROUND(1425560/(50*60+45),1)</f>
        <v>468.2</v>
      </c>
      <c r="V72" s="52">
        <v>0</v>
      </c>
      <c r="W72" s="52">
        <v>0</v>
      </c>
      <c r="X72" s="53">
        <f>ROUND(546010/(19*60+20),1)</f>
        <v>470.7</v>
      </c>
      <c r="Y72" s="65">
        <f>ROUND(871270/(32*60+31),1)</f>
        <v>446.6</v>
      </c>
      <c r="Z72" s="59">
        <f>SUM(D72:Y72)-SUM(D72,E72,G72,I72,J72,M72,V72)</f>
        <v>6342.4000000000015</v>
      </c>
    </row>
    <row r="73" spans="1:26" s="33" customFormat="1" ht="12" thickBot="1">
      <c r="A73" s="49" t="s">
        <v>226</v>
      </c>
      <c r="B73" s="48" t="s">
        <v>225</v>
      </c>
      <c r="C73" s="50">
        <v>1962</v>
      </c>
      <c r="D73" s="71">
        <f>ROUND(980932/(33*60+52),1)</f>
        <v>482.7</v>
      </c>
      <c r="E73" s="54">
        <f>ROUND(908270/(31*60+56),1)</f>
        <v>474</v>
      </c>
      <c r="F73" s="53">
        <f>ROUND(1449718/(49*60+3),1)</f>
        <v>492.6</v>
      </c>
      <c r="G73" s="54">
        <f>ROUND(1878340/(66*60+28),1)</f>
        <v>471</v>
      </c>
      <c r="H73" s="57">
        <f>ROUND(817443/(27*60+39),1)</f>
        <v>492.7</v>
      </c>
      <c r="I73" s="52">
        <v>0</v>
      </c>
      <c r="J73" s="55">
        <v>0</v>
      </c>
      <c r="K73" s="57">
        <f>ROUND(1301029/(41*60+37),1)</f>
        <v>521</v>
      </c>
      <c r="L73" s="56">
        <f>ROUND(1053593/(35*60+6),1)</f>
        <v>500.3</v>
      </c>
      <c r="M73" s="57">
        <f>ROUND(1226684/(39*60+25),1)</f>
        <v>518.7</v>
      </c>
      <c r="N73" s="55">
        <v>0</v>
      </c>
      <c r="O73" s="56">
        <f>ROUND(526760/(15*60+46.9),1)</f>
        <v>556.3</v>
      </c>
      <c r="P73" s="56">
        <f>ROUND(908270/(27*60+7),1)</f>
        <v>558.2</v>
      </c>
      <c r="Q73" s="55">
        <v>0</v>
      </c>
      <c r="R73" s="52">
        <v>0</v>
      </c>
      <c r="S73" s="54">
        <f>ROUND(1784423/(55*60+47),1)</f>
        <v>533.1</v>
      </c>
      <c r="T73" s="55">
        <v>0</v>
      </c>
      <c r="U73" s="57">
        <f>ROUND(1486890/(45*60+34),1)</f>
        <v>543.9</v>
      </c>
      <c r="V73" s="52">
        <v>0</v>
      </c>
      <c r="W73" s="52">
        <v>0</v>
      </c>
      <c r="X73" s="56">
        <v>0</v>
      </c>
      <c r="Y73" s="83">
        <v>0</v>
      </c>
      <c r="Z73" s="59">
        <f>SUM(D73:Y73)-SUM(I73,J73,N73,Q73,R73,T73,V73)</f>
        <v>6144.5</v>
      </c>
    </row>
    <row r="74" spans="1:26" s="33" customFormat="1" ht="12" thickBot="1">
      <c r="A74" s="49" t="s">
        <v>228</v>
      </c>
      <c r="B74" s="48" t="s">
        <v>227</v>
      </c>
      <c r="C74" s="50">
        <v>1960</v>
      </c>
      <c r="D74" s="72">
        <f>ROUND(980932/(26*60+39),1)</f>
        <v>613.5</v>
      </c>
      <c r="E74" s="52">
        <v>0</v>
      </c>
      <c r="F74" s="52">
        <v>0</v>
      </c>
      <c r="G74" s="55">
        <v>0</v>
      </c>
      <c r="H74" s="55">
        <v>0</v>
      </c>
      <c r="I74" s="56">
        <f>ROUND(1972257/(47*60+45),1)</f>
        <v>688.4</v>
      </c>
      <c r="J74" s="54">
        <f>ROUND(1718681/(50*60+6),1)</f>
        <v>571.8</v>
      </c>
      <c r="K74" s="57">
        <f>ROUND(1301029/(29*60+56),1)</f>
        <v>724.4</v>
      </c>
      <c r="L74" s="52">
        <v>0</v>
      </c>
      <c r="M74" s="55">
        <v>0</v>
      </c>
      <c r="N74" s="55">
        <v>0</v>
      </c>
      <c r="O74" s="56">
        <v>0</v>
      </c>
      <c r="P74" s="56">
        <f>ROUND(908270/(21*60+26),1)</f>
        <v>706.3</v>
      </c>
      <c r="Q74" s="76">
        <v>0</v>
      </c>
      <c r="R74" s="56">
        <v>0</v>
      </c>
      <c r="S74" s="54">
        <f>ROUND(1784423/(41*60+5),1)</f>
        <v>723.9</v>
      </c>
      <c r="T74" s="57">
        <f>ROUND(1557517/(38*60+46),1)</f>
        <v>669.6</v>
      </c>
      <c r="U74" s="76">
        <v>0</v>
      </c>
      <c r="V74" s="56">
        <f>ROUND(3894460/(97*60+14),1)</f>
        <v>667.5</v>
      </c>
      <c r="W74" s="52">
        <v>0</v>
      </c>
      <c r="X74" s="56">
        <v>0</v>
      </c>
      <c r="Y74" s="58">
        <f>ROUND(908270/(23*60+32),1)</f>
        <v>643.3</v>
      </c>
      <c r="Z74" s="81">
        <f>SUM(D74:Y74)-SUM(E74,F74,G74,H74,L74,M74,N74)</f>
        <v>6008.7</v>
      </c>
    </row>
    <row r="75" spans="1:26" s="33" customFormat="1" ht="12" thickBot="1">
      <c r="A75" s="49" t="s">
        <v>55</v>
      </c>
      <c r="B75" s="48" t="s">
        <v>229</v>
      </c>
      <c r="C75" s="50">
        <v>1969</v>
      </c>
      <c r="D75" s="60">
        <v>0</v>
      </c>
      <c r="E75" s="52">
        <v>0</v>
      </c>
      <c r="F75" s="52">
        <v>0</v>
      </c>
      <c r="G75" s="52">
        <v>0</v>
      </c>
      <c r="H75" s="52">
        <v>0</v>
      </c>
      <c r="I75" s="56">
        <f>ROUND(1820742/(56*60+50),1)</f>
        <v>533.9</v>
      </c>
      <c r="J75" s="55">
        <v>0</v>
      </c>
      <c r="K75" s="57">
        <f>ROUND(1201174/(37*60+12),1)</f>
        <v>538.2</v>
      </c>
      <c r="L75" s="52">
        <v>0</v>
      </c>
      <c r="M75" s="95">
        <v>0</v>
      </c>
      <c r="N75" s="76">
        <v>0</v>
      </c>
      <c r="O75" s="56">
        <f>ROUND(486310/(14*60+41.9),1)</f>
        <v>551.4</v>
      </c>
      <c r="P75" s="56">
        <f>ROUND(838690/(25*60+44),1)</f>
        <v>543.2</v>
      </c>
      <c r="Q75" s="57">
        <f>ROUND(539578/(16*60+47),1)</f>
        <v>535.8</v>
      </c>
      <c r="R75" s="56">
        <f>ROUND(486310/(13*60+42),1)</f>
        <v>591.6</v>
      </c>
      <c r="S75" s="54">
        <f>ROUND(1647338/(49*60+18),1)</f>
        <v>556.9</v>
      </c>
      <c r="T75" s="57">
        <f>ROUND(1437977/(47*60+0),1)</f>
        <v>509.9</v>
      </c>
      <c r="U75" s="56">
        <f>ROUND(1372770/(40*60+51),1)</f>
        <v>560.1</v>
      </c>
      <c r="V75" s="56">
        <v>0</v>
      </c>
      <c r="W75" s="52">
        <v>0</v>
      </c>
      <c r="X75" s="56">
        <f>ROUND(526170/(15*60+59),1)</f>
        <v>548.7</v>
      </c>
      <c r="Y75" s="58">
        <f>ROUND(838690/(27*60+5),1)</f>
        <v>516.1</v>
      </c>
      <c r="Z75" s="81">
        <f>SUM(D75:Y75)-SUM(D75,E75,F75,G75,H75,J75,L75)</f>
        <v>5985.8</v>
      </c>
    </row>
    <row r="76" spans="1:26" s="33" customFormat="1" ht="12" thickBot="1">
      <c r="A76" s="49" t="s">
        <v>231</v>
      </c>
      <c r="B76" s="48" t="s">
        <v>230</v>
      </c>
      <c r="C76" s="63">
        <v>1955</v>
      </c>
      <c r="D76" s="71">
        <f>ROUND(1026076/(31*60+12),1)</f>
        <v>548.1</v>
      </c>
      <c r="E76" s="52">
        <v>0</v>
      </c>
      <c r="F76" s="56">
        <f>ROUND(1516535/(45*60+22),1)</f>
        <v>557.1</v>
      </c>
      <c r="G76" s="55">
        <v>0</v>
      </c>
      <c r="H76" s="55">
        <v>0</v>
      </c>
      <c r="I76" s="56">
        <f>ROUND(2063261/(57*60+31),1)</f>
        <v>597.9</v>
      </c>
      <c r="J76" s="55">
        <v>0</v>
      </c>
      <c r="K76" s="57">
        <f>ROUND(1360993/(35*60+59),1)</f>
        <v>630.4</v>
      </c>
      <c r="L76" s="52">
        <v>0</v>
      </c>
      <c r="M76" s="56">
        <f>ROUND(1283222/(36*60+8),1)</f>
        <v>591.9</v>
      </c>
      <c r="N76" s="55">
        <v>0</v>
      </c>
      <c r="O76" s="52">
        <v>0</v>
      </c>
      <c r="P76" s="56">
        <v>0</v>
      </c>
      <c r="Q76" s="57">
        <f>ROUND(611361/(17*60+36),1)</f>
        <v>578.9</v>
      </c>
      <c r="R76" s="56">
        <f>ROUND(551070/(13*60+48),1)</f>
        <v>665.5</v>
      </c>
      <c r="S76" s="54">
        <f>ROUND(1866760/(53*60+3),1)</f>
        <v>586.5</v>
      </c>
      <c r="T76" s="76">
        <v>0</v>
      </c>
      <c r="U76" s="57">
        <f>ROUND(1555420/(44*60+19),1)</f>
        <v>585</v>
      </c>
      <c r="V76" s="56">
        <v>0</v>
      </c>
      <c r="W76" s="52">
        <v>0</v>
      </c>
      <c r="X76" s="57">
        <f>ROUND(596170/(16*60+11),1)</f>
        <v>614</v>
      </c>
      <c r="Y76" s="83">
        <v>0</v>
      </c>
      <c r="Z76" s="59">
        <f>SUM(D76:Y76)-SUM(E76,G76,H76,J76,L76,N76,O76)</f>
        <v>5955.3</v>
      </c>
    </row>
    <row r="77" spans="1:26" s="33" customFormat="1" ht="12" thickBot="1">
      <c r="A77" s="49" t="s">
        <v>233</v>
      </c>
      <c r="B77" s="48" t="s">
        <v>232</v>
      </c>
      <c r="C77" s="63">
        <v>1950</v>
      </c>
      <c r="D77" s="71">
        <f>ROUND(1078596/(42*60+17),1)</f>
        <v>425.1</v>
      </c>
      <c r="E77" s="56">
        <f>ROUND(998700/(39*60+4),1)</f>
        <v>426.1</v>
      </c>
      <c r="F77" s="57">
        <f>ROUND(1594291/(60*60+23),1)</f>
        <v>440</v>
      </c>
      <c r="G77" s="54">
        <f>ROUND(2065840/(82*60+26),1)</f>
        <v>417.7</v>
      </c>
      <c r="H77" s="57">
        <f>ROUND(898830/(32*60+50),1)</f>
        <v>456.3</v>
      </c>
      <c r="I77" s="56">
        <f>ROUND(2169132/(82*60+8),1)</f>
        <v>440.2</v>
      </c>
      <c r="J77" s="55">
        <v>0</v>
      </c>
      <c r="K77" s="55">
        <v>0</v>
      </c>
      <c r="L77" s="52">
        <v>0</v>
      </c>
      <c r="M77" s="55">
        <v>0</v>
      </c>
      <c r="N77" s="55">
        <v>0</v>
      </c>
      <c r="O77" s="52">
        <v>0</v>
      </c>
      <c r="P77" s="56">
        <f>ROUND(998700/(36*60+8),1)</f>
        <v>460.7</v>
      </c>
      <c r="Q77" s="57">
        <f>ROUND(642731/(22*60+54),1)</f>
        <v>467.8</v>
      </c>
      <c r="R77" s="57">
        <f>ROUND(579380/(17*60+45),1)</f>
        <v>544</v>
      </c>
      <c r="S77" s="54">
        <f>ROUND(1962548/(74*60+20),1)</f>
        <v>440</v>
      </c>
      <c r="T77" s="55">
        <v>0</v>
      </c>
      <c r="U77" s="56">
        <f>ROUND(1635170/(56*60+3),1)</f>
        <v>486.2</v>
      </c>
      <c r="V77" s="56">
        <v>0</v>
      </c>
      <c r="W77" s="52">
        <v>0</v>
      </c>
      <c r="X77" s="57">
        <f>ROUND(626760/(21*60+6),1)</f>
        <v>495.1</v>
      </c>
      <c r="Y77" s="58">
        <f>ROUND(998700/(37*60+16),1)</f>
        <v>446.6</v>
      </c>
      <c r="Z77" s="81">
        <f>SUM(D77:Y77)-SUM(J77,K77,L77,M77,N77,O77,T77)</f>
        <v>5945.8</v>
      </c>
    </row>
    <row r="78" spans="1:26" s="33" customFormat="1" ht="12" thickBot="1">
      <c r="A78" s="49" t="s">
        <v>235</v>
      </c>
      <c r="B78" s="48" t="s">
        <v>234</v>
      </c>
      <c r="C78" s="50">
        <v>1985</v>
      </c>
      <c r="D78" s="60">
        <v>0</v>
      </c>
      <c r="E78" s="52">
        <v>0</v>
      </c>
      <c r="F78" s="56">
        <f>ROUND(1205783/(36*60+6),1)</f>
        <v>556.7</v>
      </c>
      <c r="G78" s="54">
        <f>ROUND(1561990/(48*60+49),1)</f>
        <v>533.3</v>
      </c>
      <c r="H78" s="57">
        <f>ROUND(680148/(19*60+9),1)</f>
        <v>591.9</v>
      </c>
      <c r="I78" s="52">
        <v>0</v>
      </c>
      <c r="J78" s="55">
        <v>0</v>
      </c>
      <c r="K78" s="57">
        <f>ROUND(1082113/(29*60+16),1)</f>
        <v>616.2</v>
      </c>
      <c r="L78" s="52">
        <v>0</v>
      </c>
      <c r="M78" s="57">
        <f>ROUND(1020278/(27*60+58),1)</f>
        <v>608</v>
      </c>
      <c r="N78" s="55">
        <v>0</v>
      </c>
      <c r="O78" s="56">
        <f>ROUND(438100/(11*60+13.5),1)</f>
        <v>650.5</v>
      </c>
      <c r="P78" s="56">
        <f>ROUND(755720/(20*60+39),1)</f>
        <v>609.9</v>
      </c>
      <c r="Q78" s="55">
        <v>0</v>
      </c>
      <c r="R78" s="56">
        <v>0</v>
      </c>
      <c r="S78" s="57">
        <f>ROUND(1483891/(40*60+41),1)</f>
        <v>607.9</v>
      </c>
      <c r="T78" s="76">
        <v>0</v>
      </c>
      <c r="U78" s="56">
        <v>0</v>
      </c>
      <c r="V78" s="56">
        <f>ROUND(3240960/(91*60+44),1)</f>
        <v>588.8</v>
      </c>
      <c r="W78" s="52">
        <v>0</v>
      </c>
      <c r="X78" s="56">
        <v>0</v>
      </c>
      <c r="Y78" s="96">
        <f>ROUND(755720/(22*60+32),1)</f>
        <v>559</v>
      </c>
      <c r="Z78" s="81">
        <f>SUM(D78:Y78)-SUM(D78,E78,I78,J78,L78,N78,Q78)</f>
        <v>5922.2</v>
      </c>
    </row>
    <row r="79" spans="1:26" s="33" customFormat="1" ht="12" thickBot="1">
      <c r="A79" s="49" t="s">
        <v>237</v>
      </c>
      <c r="B79" s="48" t="s">
        <v>236</v>
      </c>
      <c r="C79" s="63">
        <v>1984</v>
      </c>
      <c r="D79" s="74">
        <f>ROUND(816178/(24*60+36),1)</f>
        <v>553</v>
      </c>
      <c r="E79" s="52">
        <v>0</v>
      </c>
      <c r="F79" s="57">
        <f>ROUND(1205783/(34*60+46),1)</f>
        <v>578</v>
      </c>
      <c r="G79" s="57">
        <f>ROUND(1561990/(47*60+4),1)</f>
        <v>553.1</v>
      </c>
      <c r="H79" s="57">
        <f>ROUND(680148/(19*60+43),1)</f>
        <v>574.9</v>
      </c>
      <c r="I79" s="56">
        <f>ROUND(1699299/(46*60+8),1)</f>
        <v>613.9</v>
      </c>
      <c r="J79" s="55">
        <v>0</v>
      </c>
      <c r="K79" s="55">
        <v>0</v>
      </c>
      <c r="L79" s="52">
        <v>0</v>
      </c>
      <c r="M79" s="52">
        <v>0</v>
      </c>
      <c r="N79" s="55">
        <v>0</v>
      </c>
      <c r="O79" s="52">
        <v>0</v>
      </c>
      <c r="P79" s="56">
        <v>0</v>
      </c>
      <c r="Q79" s="76">
        <v>0</v>
      </c>
      <c r="R79" s="56">
        <v>0</v>
      </c>
      <c r="S79" s="57">
        <f>ROUND(1483891/(42*60+11),1)</f>
        <v>586.3</v>
      </c>
      <c r="T79" s="57">
        <f>ROUND(1295433/(39*60+46),1)</f>
        <v>542.9</v>
      </c>
      <c r="U79" s="57">
        <f>ROUND(1236700/(35*60+25),1)</f>
        <v>582</v>
      </c>
      <c r="V79" s="56">
        <f>ROUND(3240960/(95*60+58),1)</f>
        <v>562.9</v>
      </c>
      <c r="W79" s="52">
        <v>0</v>
      </c>
      <c r="X79" s="56">
        <f>ROUND(474040/(13*60+32),1)</f>
        <v>583.8</v>
      </c>
      <c r="Y79" s="83">
        <v>0</v>
      </c>
      <c r="Z79" s="59">
        <f>SUM(D79:Y79)-SUM(E79,J79,K79,L79,M79,N79,O79)</f>
        <v>5730.8</v>
      </c>
    </row>
    <row r="80" spans="1:26" s="33" customFormat="1" ht="12" thickBot="1">
      <c r="A80" s="77" t="s">
        <v>239</v>
      </c>
      <c r="B80" s="48" t="s">
        <v>238</v>
      </c>
      <c r="C80" s="50">
        <v>1998</v>
      </c>
      <c r="D80" s="71">
        <f>ROUND(932785/(36*60+54),1)</f>
        <v>421.3</v>
      </c>
      <c r="E80" s="53">
        <f>ROUND(863690/(32*60+30),1)</f>
        <v>442.9</v>
      </c>
      <c r="F80" s="53">
        <f>ROUND(1383525/(52*60+15),1)</f>
        <v>441.3</v>
      </c>
      <c r="G80" s="54">
        <f>ROUND(1795000/(67*60+47),1)</f>
        <v>441.4</v>
      </c>
      <c r="H80" s="57">
        <f>ROUND(777321/(26*60+39),1)</f>
        <v>486.1</v>
      </c>
      <c r="I80" s="56">
        <f>ROUND(1884750/(68*60+0),1)</f>
        <v>461.9</v>
      </c>
      <c r="J80" s="55">
        <v>0</v>
      </c>
      <c r="K80" s="57">
        <f>ROUND(1241625/(40*60+37),1)</f>
        <v>509.5</v>
      </c>
      <c r="L80" s="52">
        <v>0</v>
      </c>
      <c r="M80" s="52">
        <v>0</v>
      </c>
      <c r="N80" s="57">
        <f>ROUND(9685000/19240,1)</f>
        <v>503.4</v>
      </c>
      <c r="O80" s="56">
        <f>ROUND(498000/(15*60+43.5),1)</f>
        <v>527.8</v>
      </c>
      <c r="P80" s="56">
        <f>ROUND(863690/(29*60+31),1)</f>
        <v>487.7</v>
      </c>
      <c r="Q80" s="57">
        <f>ROUND(552642/(18*60+4),1)</f>
        <v>509.8</v>
      </c>
      <c r="R80" s="52">
        <v>0</v>
      </c>
      <c r="S80" s="57">
        <f>ROUND(1705250/(63*60+50),1)</f>
        <v>445.2</v>
      </c>
      <c r="T80" s="55">
        <v>0</v>
      </c>
      <c r="U80" s="52">
        <v>0</v>
      </c>
      <c r="V80" s="52">
        <v>0</v>
      </c>
      <c r="W80" s="52">
        <v>0</v>
      </c>
      <c r="X80" s="56">
        <v>0</v>
      </c>
      <c r="Y80" s="83">
        <v>0</v>
      </c>
      <c r="Z80" s="59">
        <f>SUM(D80:Y80)-SUM(J80,L80,M80,R80,T80,U80,V80)</f>
        <v>5678.3</v>
      </c>
    </row>
    <row r="81" spans="1:26" s="33" customFormat="1" ht="12" thickBot="1">
      <c r="A81" s="70" t="s">
        <v>241</v>
      </c>
      <c r="B81" s="48" t="s">
        <v>240</v>
      </c>
      <c r="C81" s="50">
        <v>1984</v>
      </c>
      <c r="D81" s="71">
        <f>ROUND(816178/(33*60+23),1)</f>
        <v>407.5</v>
      </c>
      <c r="E81" s="56">
        <f>ROUND(755720/(30*60+27),1)</f>
        <v>413.6</v>
      </c>
      <c r="F81" s="56">
        <f>ROUND(1205783/(48*60+24),1)</f>
        <v>415.2</v>
      </c>
      <c r="G81" s="54">
        <f>ROUND(1561990/(63*60+56),1)</f>
        <v>407.2</v>
      </c>
      <c r="H81" s="57">
        <f>ROUND(680148/(26*60+26),1)</f>
        <v>428.8</v>
      </c>
      <c r="I81" s="57">
        <f>ROUND(1640090/(61*60+51),1)</f>
        <v>442</v>
      </c>
      <c r="J81" s="54">
        <f>ROUND(1429221/(62*60+15),1)</f>
        <v>382.7</v>
      </c>
      <c r="K81" s="55">
        <v>0</v>
      </c>
      <c r="L81" s="52">
        <v>0</v>
      </c>
      <c r="M81" s="55">
        <v>0</v>
      </c>
      <c r="N81" s="55">
        <v>0</v>
      </c>
      <c r="O81" s="52">
        <v>0</v>
      </c>
      <c r="P81" s="52">
        <v>0</v>
      </c>
      <c r="Q81" s="57">
        <f>ROUND(486119/(17*60+11),1)</f>
        <v>471.5</v>
      </c>
      <c r="R81" s="52">
        <v>0</v>
      </c>
      <c r="S81" s="57">
        <f>ROUND(1483891/(53*60+6),1)</f>
        <v>465.8</v>
      </c>
      <c r="T81" s="57">
        <f>ROUND(1295433/(47*60+37),1)</f>
        <v>453.4</v>
      </c>
      <c r="U81" s="56">
        <f>ROUND(1236700/(43*60+22),1)</f>
        <v>475.3</v>
      </c>
      <c r="V81" s="57">
        <f>ROUND(3240960/(116*60+10),1)</f>
        <v>465</v>
      </c>
      <c r="W81" s="52">
        <v>0</v>
      </c>
      <c r="X81" s="56">
        <v>0</v>
      </c>
      <c r="Y81" s="58">
        <f>ROUND(755720/(28*60+20),1)</f>
        <v>444.5</v>
      </c>
      <c r="Z81" s="81">
        <f>SUM(D81:Y81)-SUM(K81,L81,M81,N81,O81,P81,R81)</f>
        <v>5672.5</v>
      </c>
    </row>
    <row r="82" spans="1:26" s="33" customFormat="1" ht="12" thickBot="1">
      <c r="A82" s="49" t="s">
        <v>243</v>
      </c>
      <c r="B82" s="48" t="s">
        <v>242</v>
      </c>
      <c r="C82" s="63">
        <v>1962</v>
      </c>
      <c r="D82" s="72">
        <f>ROUND(980932/(26*60+18),1)</f>
        <v>621.6</v>
      </c>
      <c r="E82" s="52">
        <v>0</v>
      </c>
      <c r="F82" s="52">
        <v>0</v>
      </c>
      <c r="G82" s="55">
        <v>0</v>
      </c>
      <c r="H82" s="55">
        <v>0</v>
      </c>
      <c r="I82" s="56">
        <f>ROUND(1972257/(49*60+50),1)</f>
        <v>659.6</v>
      </c>
      <c r="J82" s="55">
        <v>0</v>
      </c>
      <c r="K82" s="57">
        <f>ROUND(1301029/(32*60+26),1)</f>
        <v>668.6</v>
      </c>
      <c r="L82" s="52">
        <v>0</v>
      </c>
      <c r="M82" s="55">
        <v>0</v>
      </c>
      <c r="N82" s="95">
        <v>0</v>
      </c>
      <c r="O82" s="57">
        <f>ROUND(526760/(12*60+30.4),1)</f>
        <v>702</v>
      </c>
      <c r="P82" s="56">
        <f>ROUND(908270/(21*60+11),1)</f>
        <v>714.6</v>
      </c>
      <c r="Q82" s="76">
        <v>0</v>
      </c>
      <c r="R82" s="56">
        <v>0</v>
      </c>
      <c r="S82" s="54">
        <f>ROUND(1784423/(42*60+30),1)</f>
        <v>699.8</v>
      </c>
      <c r="T82" s="76">
        <v>0</v>
      </c>
      <c r="U82" s="76">
        <v>0</v>
      </c>
      <c r="V82" s="56">
        <f>ROUND(3894460/(96*60+22),1)</f>
        <v>673.5</v>
      </c>
      <c r="W82" s="52">
        <v>0</v>
      </c>
      <c r="X82" s="56">
        <v>0</v>
      </c>
      <c r="Y82" s="58">
        <f>ROUND(908270/(22*60+59),1)</f>
        <v>658.6</v>
      </c>
      <c r="Z82" s="59">
        <f>SUM(D82:Y82)-SUM(E82,F82,G82,H82,J82,L82,M82)</f>
        <v>5398.3</v>
      </c>
    </row>
    <row r="83" spans="1:26" s="33" customFormat="1" ht="12" thickBot="1">
      <c r="A83" s="49" t="s">
        <v>245</v>
      </c>
      <c r="B83" s="48" t="s">
        <v>244</v>
      </c>
      <c r="C83" s="63">
        <v>1943</v>
      </c>
      <c r="D83" s="71">
        <f>ROUND(1218175/(47*60+35),1)</f>
        <v>426.7</v>
      </c>
      <c r="E83" s="52">
        <v>0</v>
      </c>
      <c r="F83" s="54">
        <f>ROUND(1800835/(76*60+28),1)</f>
        <v>392.5</v>
      </c>
      <c r="G83" s="55">
        <v>0</v>
      </c>
      <c r="H83" s="54">
        <f>ROUND(1015146/(40*60+27),1)</f>
        <v>418.3</v>
      </c>
      <c r="I83" s="54">
        <f>ROUND(2450322/(92*60+43),1)</f>
        <v>440.5</v>
      </c>
      <c r="J83" s="55">
        <v>0</v>
      </c>
      <c r="K83" s="55">
        <v>0</v>
      </c>
      <c r="L83" s="53">
        <f>ROUND(1308410/(51*60+25),1)</f>
        <v>424.1</v>
      </c>
      <c r="M83" s="55">
        <v>0</v>
      </c>
      <c r="N83" s="57">
        <f>ROUND(6810000/14857,1)</f>
        <v>458.4</v>
      </c>
      <c r="O83" s="52">
        <v>0</v>
      </c>
      <c r="P83" s="53">
        <f>ROUND(1127940/(41*60+46),1)</f>
        <v>450.1</v>
      </c>
      <c r="Q83" s="54">
        <f>ROUND(726144/(25*60+45),1)</f>
        <v>470</v>
      </c>
      <c r="R83" s="52">
        <v>0</v>
      </c>
      <c r="S83" s="54">
        <f>ROUND(2216978/(85*60+10),1)</f>
        <v>433.9</v>
      </c>
      <c r="T83" s="95">
        <v>0</v>
      </c>
      <c r="U83" s="53">
        <f>ROUND(1847010/(67*60+56),1)</f>
        <v>453.1</v>
      </c>
      <c r="V83" s="95">
        <v>0</v>
      </c>
      <c r="W83" s="52">
        <v>0</v>
      </c>
      <c r="X83" s="54">
        <f>ROUND(708100/(25*60+15),1)</f>
        <v>467.4</v>
      </c>
      <c r="Y83" s="65">
        <f>ROUND(1127940/(43*60+56),1)</f>
        <v>427.9</v>
      </c>
      <c r="Z83" s="81">
        <f>SUM(D83:Y83)-SUM(E83,G83,J83,K83,M83,O83,R83)</f>
        <v>5262.9</v>
      </c>
    </row>
    <row r="84" spans="1:26" s="33" customFormat="1" ht="12" thickBot="1">
      <c r="A84" s="49" t="s">
        <v>27</v>
      </c>
      <c r="B84" s="48" t="s">
        <v>246</v>
      </c>
      <c r="C84" s="50">
        <v>1976</v>
      </c>
      <c r="D84" s="74">
        <f>ROUND(873504/(36*60+29),1)</f>
        <v>399</v>
      </c>
      <c r="E84" s="52">
        <v>0</v>
      </c>
      <c r="F84" s="53">
        <f>ROUND(1290647/(52*60+32),1)</f>
        <v>409.5</v>
      </c>
      <c r="G84" s="54">
        <f>ROUND(1672050/(69*60+29),1)</f>
        <v>401.1</v>
      </c>
      <c r="H84" s="57">
        <f>ROUND(727920/(28*60+4),1)</f>
        <v>432.3</v>
      </c>
      <c r="I84" s="57">
        <f>ROUND(1755653/(66*60+50),1)</f>
        <v>437.8</v>
      </c>
      <c r="J84" s="55">
        <v>0</v>
      </c>
      <c r="K84" s="57">
        <f>ROUND(1158273/(43*60+4),1)</f>
        <v>448.2</v>
      </c>
      <c r="L84" s="56">
        <f>ROUND(938208/(36*60+16),1)</f>
        <v>431.2</v>
      </c>
      <c r="M84" s="55">
        <v>0</v>
      </c>
      <c r="N84" s="55">
        <v>0</v>
      </c>
      <c r="O84" s="52">
        <v>0</v>
      </c>
      <c r="P84" s="56">
        <f>ROUND(808800/(29*60+27),1)</f>
        <v>457.7</v>
      </c>
      <c r="Q84" s="55">
        <v>0</v>
      </c>
      <c r="R84" s="52">
        <v>0</v>
      </c>
      <c r="S84" s="54">
        <f>ROUND(1588448/(58*60+11),1)</f>
        <v>455</v>
      </c>
      <c r="T84" s="57">
        <f>ROUND(1386618/(53*60+32),1)</f>
        <v>431.7</v>
      </c>
      <c r="U84" s="56">
        <v>0</v>
      </c>
      <c r="V84" s="56">
        <v>0</v>
      </c>
      <c r="W84" s="52">
        <v>0</v>
      </c>
      <c r="X84" s="56">
        <f>ROUND(507390/(17*60+50),1)</f>
        <v>474.2</v>
      </c>
      <c r="Y84" s="58">
        <f>ROUND(808800/(30*60+1),1)</f>
        <v>449.1</v>
      </c>
      <c r="Z84" s="81">
        <f>SUM(D84:Y84)-SUM(E84,J84,M84,N84,O84,Q84,R84)</f>
        <v>5226.799999999999</v>
      </c>
    </row>
    <row r="85" spans="1:26" s="33" customFormat="1" ht="12" thickBot="1">
      <c r="A85" s="49" t="s">
        <v>248</v>
      </c>
      <c r="B85" s="48" t="s">
        <v>247</v>
      </c>
      <c r="C85" s="50">
        <v>1975</v>
      </c>
      <c r="D85" s="72">
        <f>ROUND(979301/(34*60+16),1)</f>
        <v>476.3</v>
      </c>
      <c r="E85" s="52">
        <v>0</v>
      </c>
      <c r="F85" s="56">
        <f>ROUND(1446442/(48*60+26),1)</f>
        <v>497.7</v>
      </c>
      <c r="G85" s="55">
        <v>0</v>
      </c>
      <c r="H85" s="54">
        <f>ROUND(816084/(27*60+54),1)</f>
        <v>487.5</v>
      </c>
      <c r="I85" s="55">
        <v>0</v>
      </c>
      <c r="J85" s="55">
        <v>0</v>
      </c>
      <c r="K85" s="55">
        <v>0</v>
      </c>
      <c r="L85" s="52">
        <v>0</v>
      </c>
      <c r="M85" s="55">
        <v>0</v>
      </c>
      <c r="N85" s="57">
        <f>ROUND(10720000/18581,1)</f>
        <v>576.9</v>
      </c>
      <c r="O85" s="56">
        <f>ROUND(525650/(14*60+19),1)</f>
        <v>611.9</v>
      </c>
      <c r="P85" s="53">
        <f>ROUND(906760/(27*60+49),1)</f>
        <v>543.3</v>
      </c>
      <c r="Q85" s="57">
        <f>ROUND(582833/(18*60+35),1)</f>
        <v>522.7</v>
      </c>
      <c r="R85" s="56">
        <v>0</v>
      </c>
      <c r="S85" s="57">
        <f>ROUND(1779084/(55*60+23),1)</f>
        <v>535.4</v>
      </c>
      <c r="T85" s="76">
        <v>0</v>
      </c>
      <c r="U85" s="56">
        <v>0</v>
      </c>
      <c r="V85" s="56">
        <v>0</v>
      </c>
      <c r="W85" s="52">
        <v>0</v>
      </c>
      <c r="X85" s="56">
        <f>ROUND(568350/(17*60+5),1)</f>
        <v>554.5</v>
      </c>
      <c r="Y85" s="65">
        <v>0</v>
      </c>
      <c r="Z85" s="81">
        <f>SUM(D85:Y85)-SUM(E85,G85,I85,J85,K85,L85,M85)</f>
        <v>4806.2</v>
      </c>
    </row>
    <row r="86" spans="1:26" s="33" customFormat="1" ht="12" thickBot="1">
      <c r="A86" s="49" t="s">
        <v>61</v>
      </c>
      <c r="B86" s="48" t="s">
        <v>249</v>
      </c>
      <c r="C86" s="50">
        <v>1985</v>
      </c>
      <c r="D86" s="72">
        <f>ROUND(816178/(29*60+31),1)</f>
        <v>460.9</v>
      </c>
      <c r="E86" s="52">
        <v>0</v>
      </c>
      <c r="F86" s="52">
        <v>0</v>
      </c>
      <c r="G86" s="57">
        <f>ROUND(1561990/(58*60+49),1)</f>
        <v>442.6</v>
      </c>
      <c r="H86" s="55">
        <v>0</v>
      </c>
      <c r="I86" s="56">
        <f>ROUND(1640090/(57*60+9),1)</f>
        <v>478.3</v>
      </c>
      <c r="J86" s="57">
        <f>ROUND(1429221/(60*60+31),1)</f>
        <v>393.6</v>
      </c>
      <c r="K86" s="55">
        <v>0</v>
      </c>
      <c r="L86" s="52">
        <v>0</v>
      </c>
      <c r="M86" s="55">
        <v>0</v>
      </c>
      <c r="N86" s="55">
        <v>0</v>
      </c>
      <c r="O86" s="56">
        <v>0</v>
      </c>
      <c r="P86" s="56">
        <f>ROUND(755720/(27*60+19),1)</f>
        <v>461.1</v>
      </c>
      <c r="Q86" s="57">
        <f>ROUND(486119/(16*60+55),1)</f>
        <v>478.9</v>
      </c>
      <c r="R86" s="56">
        <v>0</v>
      </c>
      <c r="S86" s="57">
        <f>ROUND(1483891/(50*60+21),1)</f>
        <v>491.2</v>
      </c>
      <c r="T86" s="57">
        <f>ROUND(1295433/(49*60+19),1)</f>
        <v>437.8</v>
      </c>
      <c r="U86" s="56">
        <f>ROUND(1236700/(44*60+47),1)</f>
        <v>460.3</v>
      </c>
      <c r="V86" s="56">
        <v>0</v>
      </c>
      <c r="W86" s="52">
        <v>0</v>
      </c>
      <c r="X86" s="56">
        <v>0</v>
      </c>
      <c r="Y86" s="58">
        <f>ROUND(755720/(28*60+27),1)</f>
        <v>442.7</v>
      </c>
      <c r="Z86" s="59">
        <f>SUM(D86:Y86)-SUM(E86,F86,H86,K86,L86,M86,N86)</f>
        <v>4547.4</v>
      </c>
    </row>
    <row r="87" spans="1:26" s="33" customFormat="1" ht="12" thickBot="1">
      <c r="A87" s="49" t="s">
        <v>251</v>
      </c>
      <c r="B87" s="48" t="s">
        <v>250</v>
      </c>
      <c r="C87" s="63">
        <v>1963</v>
      </c>
      <c r="D87" s="97">
        <f>ROUND(980932/(28*60+20),1)</f>
        <v>577</v>
      </c>
      <c r="E87" s="52">
        <v>0</v>
      </c>
      <c r="F87" s="56">
        <f>ROUND(1449718/(43*60+12),1)</f>
        <v>559.3</v>
      </c>
      <c r="G87" s="57">
        <f>ROUND(1878340/(53*60+21),1)</f>
        <v>586.8</v>
      </c>
      <c r="H87" s="55">
        <v>0</v>
      </c>
      <c r="I87" s="56">
        <f>ROUND(1972257/(55*60+18),1)</f>
        <v>594.4</v>
      </c>
      <c r="J87" s="55">
        <v>0</v>
      </c>
      <c r="K87" s="55">
        <v>0</v>
      </c>
      <c r="L87" s="52">
        <v>0</v>
      </c>
      <c r="M87" s="55">
        <v>0</v>
      </c>
      <c r="N87" s="55">
        <v>0</v>
      </c>
      <c r="O87" s="56">
        <v>0</v>
      </c>
      <c r="P87" s="56">
        <v>0</v>
      </c>
      <c r="Q87" s="76">
        <v>0</v>
      </c>
      <c r="R87" s="56">
        <v>0</v>
      </c>
      <c r="S87" s="95">
        <v>0</v>
      </c>
      <c r="T87" s="76">
        <v>0</v>
      </c>
      <c r="U87" s="76">
        <v>0</v>
      </c>
      <c r="V87" s="56">
        <f>ROUND(3894460/(102*60+46),1)</f>
        <v>631.6</v>
      </c>
      <c r="W87" s="52">
        <v>0</v>
      </c>
      <c r="X87" s="56">
        <f>ROUND(569900/(14*60+52),1)</f>
        <v>638.9</v>
      </c>
      <c r="Y87" s="58">
        <f>ROUND(908270/(25*60+49),1)</f>
        <v>586.4</v>
      </c>
      <c r="Z87" s="59">
        <f>SUM(D87:Y87)-SUM(E87,H87,J87,K87,L87,M87,N87)</f>
        <v>4174.4</v>
      </c>
    </row>
    <row r="88" spans="1:26" s="33" customFormat="1" ht="12" thickBot="1">
      <c r="A88" s="49" t="s">
        <v>253</v>
      </c>
      <c r="B88" s="48" t="s">
        <v>252</v>
      </c>
      <c r="C88" s="63">
        <v>1957</v>
      </c>
      <c r="D88" s="71">
        <f>ROUND(1026076/(47*60+35),1)</f>
        <v>359.4</v>
      </c>
      <c r="E88" s="56">
        <f>ROUND(950070/(36*60+48),1)</f>
        <v>430.3</v>
      </c>
      <c r="F88" s="56">
        <f>ROUND(1516535/(60*60+24),1)</f>
        <v>418.5</v>
      </c>
      <c r="G88" s="55">
        <v>0</v>
      </c>
      <c r="H88" s="57">
        <f>ROUND(855063/(32*60+8),1)</f>
        <v>443.5</v>
      </c>
      <c r="I88" s="52">
        <v>0</v>
      </c>
      <c r="J88" s="55">
        <v>0</v>
      </c>
      <c r="K88" s="55">
        <v>0</v>
      </c>
      <c r="L88" s="56">
        <f>ROUND(1102081/(44*60+28),1)</f>
        <v>413.1</v>
      </c>
      <c r="M88" s="55">
        <v>0</v>
      </c>
      <c r="N88" s="55">
        <v>0</v>
      </c>
      <c r="O88" s="56">
        <f>ROUND(551070/(18*60+40.8),1)</f>
        <v>491.7</v>
      </c>
      <c r="P88" s="52">
        <v>0</v>
      </c>
      <c r="Q88" s="57">
        <f>ROUND(611361/(25*60+12),1)</f>
        <v>404.3</v>
      </c>
      <c r="R88" s="56">
        <v>0</v>
      </c>
      <c r="S88" s="95">
        <v>0</v>
      </c>
      <c r="T88" s="76">
        <v>0</v>
      </c>
      <c r="U88" s="76">
        <v>0</v>
      </c>
      <c r="V88" s="56">
        <v>0</v>
      </c>
      <c r="W88" s="52">
        <v>0</v>
      </c>
      <c r="X88" s="56">
        <f>ROUND(596170/(22*60+9),1)</f>
        <v>448.6</v>
      </c>
      <c r="Y88" s="58">
        <f>ROUND(950070/(36*60+22),1)</f>
        <v>435.4</v>
      </c>
      <c r="Z88" s="59">
        <f>SUM(D88:Y88)-SUM(G88,I88,J88,K88,M88,N88,P88)</f>
        <v>3844.8</v>
      </c>
    </row>
    <row r="89" spans="1:26" s="33" customFormat="1" ht="12" thickBot="1">
      <c r="A89" s="49" t="s">
        <v>255</v>
      </c>
      <c r="B89" s="48" t="s">
        <v>254</v>
      </c>
      <c r="C89" s="50">
        <v>1977</v>
      </c>
      <c r="D89" s="71">
        <f>ROUND(979301/(34*60+10),1)</f>
        <v>477.7</v>
      </c>
      <c r="E89" s="52">
        <v>0</v>
      </c>
      <c r="F89" s="56">
        <f>ROUND(1446442/(46*60+12),1)</f>
        <v>521.8</v>
      </c>
      <c r="G89" s="54">
        <f>ROUND(1872720/(59*60+52),1)</f>
        <v>521.4</v>
      </c>
      <c r="H89" s="54">
        <f>ROUND(816084/(24*60+58),1)</f>
        <v>544.8</v>
      </c>
      <c r="I89" s="57">
        <f>ROUND(1966356/(56*60+56),1)</f>
        <v>575.6</v>
      </c>
      <c r="J89" s="54">
        <f>ROUND(1713539/(58*60+19),1)</f>
        <v>489.7</v>
      </c>
      <c r="K89" s="57">
        <f>ROUND(1298089/(38*60+6),1)</f>
        <v>567.8</v>
      </c>
      <c r="L89" s="52">
        <v>0</v>
      </c>
      <c r="M89" s="55">
        <v>0</v>
      </c>
      <c r="N89" s="55">
        <v>0</v>
      </c>
      <c r="O89" s="52">
        <v>0</v>
      </c>
      <c r="P89" s="52">
        <v>0</v>
      </c>
      <c r="Q89" s="55">
        <v>0</v>
      </c>
      <c r="R89" s="56">
        <v>0</v>
      </c>
      <c r="S89" s="76">
        <v>0</v>
      </c>
      <c r="T89" s="76">
        <v>0</v>
      </c>
      <c r="U89" s="56">
        <v>0</v>
      </c>
      <c r="V89" s="56">
        <v>0</v>
      </c>
      <c r="W89" s="52">
        <v>0</v>
      </c>
      <c r="X89" s="56">
        <v>0</v>
      </c>
      <c r="Y89" s="65">
        <v>0</v>
      </c>
      <c r="Z89" s="59">
        <f>SUM(D89:Y89)-SUM(E89,L89,M89,N89,O89,P89,Q89)</f>
        <v>3698.7999999999993</v>
      </c>
    </row>
    <row r="90" spans="1:26" s="33" customFormat="1" ht="12" thickBot="1">
      <c r="A90" s="49" t="s">
        <v>257</v>
      </c>
      <c r="B90" s="48" t="s">
        <v>256</v>
      </c>
      <c r="C90" s="63">
        <v>1986</v>
      </c>
      <c r="D90" s="97">
        <f>ROUND(816178/(23*60+8),1)</f>
        <v>588</v>
      </c>
      <c r="E90" s="52">
        <v>0</v>
      </c>
      <c r="F90" s="52">
        <v>0</v>
      </c>
      <c r="G90" s="55">
        <v>0</v>
      </c>
      <c r="H90" s="55">
        <v>0</v>
      </c>
      <c r="I90" s="56">
        <f>ROUND(1640090/(43*60+20),1)</f>
        <v>630.8</v>
      </c>
      <c r="J90" s="54">
        <f>ROUND(1429221/(43*60+24),1)</f>
        <v>548.9</v>
      </c>
      <c r="K90" s="55">
        <v>0</v>
      </c>
      <c r="L90" s="52">
        <v>0</v>
      </c>
      <c r="M90" s="55">
        <v>0</v>
      </c>
      <c r="N90" s="95">
        <v>0</v>
      </c>
      <c r="O90" s="56">
        <v>0</v>
      </c>
      <c r="P90" s="56">
        <v>0</v>
      </c>
      <c r="Q90" s="76">
        <v>0</v>
      </c>
      <c r="R90" s="56">
        <v>0</v>
      </c>
      <c r="S90" s="57">
        <f>ROUND(1483891/(37*60+23),1)</f>
        <v>661.6</v>
      </c>
      <c r="T90" s="76">
        <v>0</v>
      </c>
      <c r="U90" s="56">
        <v>0</v>
      </c>
      <c r="V90" s="56">
        <f>ROUND(3240960/(85*60+5),1)</f>
        <v>634.9</v>
      </c>
      <c r="W90" s="52">
        <v>0</v>
      </c>
      <c r="X90" s="56">
        <v>0</v>
      </c>
      <c r="Y90" s="58">
        <f>ROUND(755720/(20*60+22),1)</f>
        <v>618.4</v>
      </c>
      <c r="Z90" s="59">
        <f>SUM(D90:Y90)-SUM(E90,F90,G90,H90,K90,L90,M90)</f>
        <v>3682.6</v>
      </c>
    </row>
    <row r="91" spans="1:26" s="33" customFormat="1" ht="12" thickBot="1">
      <c r="A91" s="49" t="s">
        <v>259</v>
      </c>
      <c r="B91" s="48" t="s">
        <v>258</v>
      </c>
      <c r="C91" s="50">
        <v>1978</v>
      </c>
      <c r="D91" s="60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7">
        <f>ROUND(1158273/(34*60+20),1)</f>
        <v>562.3</v>
      </c>
      <c r="L91" s="56">
        <f>ROUND(938208/(27*60+50),1)</f>
        <v>561.8</v>
      </c>
      <c r="M91" s="95">
        <v>0</v>
      </c>
      <c r="N91" s="57">
        <f>ROUND(11915000/20695,1)</f>
        <v>575.7</v>
      </c>
      <c r="O91" s="56">
        <f>ROUND(468940/(13*60+53.2),1)</f>
        <v>562.8</v>
      </c>
      <c r="P91" s="56">
        <v>0</v>
      </c>
      <c r="Q91" s="76">
        <v>0</v>
      </c>
      <c r="R91" s="56">
        <v>0</v>
      </c>
      <c r="S91" s="95">
        <v>0</v>
      </c>
      <c r="T91" s="76">
        <v>0</v>
      </c>
      <c r="U91" s="56">
        <v>0</v>
      </c>
      <c r="V91" s="56">
        <v>0</v>
      </c>
      <c r="W91" s="52">
        <v>0</v>
      </c>
      <c r="X91" s="56">
        <f>ROUND(507390/(14*60+48),1)</f>
        <v>571.4</v>
      </c>
      <c r="Y91" s="58">
        <f>ROUND(808800/(25*60+57),1)</f>
        <v>519.5</v>
      </c>
      <c r="Z91" s="59">
        <f>SUM(D91:Y91)-SUM(D91,E91,F91,G91,H91,I91,J91)</f>
        <v>3353.5</v>
      </c>
    </row>
    <row r="92" spans="1:26" s="33" customFormat="1" ht="12" thickBot="1">
      <c r="A92" s="49" t="s">
        <v>56</v>
      </c>
      <c r="B92" s="48" t="s">
        <v>260</v>
      </c>
      <c r="C92" s="50">
        <v>1988</v>
      </c>
      <c r="D92" s="60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6">
        <v>0</v>
      </c>
      <c r="L92" s="56">
        <v>0</v>
      </c>
      <c r="M92" s="56">
        <v>0</v>
      </c>
      <c r="N92" s="57">
        <f>ROUND(10429000/22147,1)</f>
        <v>470.9</v>
      </c>
      <c r="O92" s="56">
        <v>0</v>
      </c>
      <c r="P92" s="56">
        <f>ROUND(755720/(25*60+27),1)</f>
        <v>494.9</v>
      </c>
      <c r="Q92" s="76">
        <v>0</v>
      </c>
      <c r="R92" s="57">
        <f>ROUND(438100/(12*60+50),1)</f>
        <v>569</v>
      </c>
      <c r="S92" s="57">
        <f>ROUND(1483891/(50*60+53),1)</f>
        <v>486</v>
      </c>
      <c r="T92" s="76">
        <v>0</v>
      </c>
      <c r="U92" s="56">
        <v>0</v>
      </c>
      <c r="V92" s="56">
        <v>0</v>
      </c>
      <c r="W92" s="52">
        <v>0</v>
      </c>
      <c r="X92" s="56">
        <f>ROUND(474040/(16*60+28),1)</f>
        <v>479.8</v>
      </c>
      <c r="Y92" s="58">
        <f>ROUND(755720/(27*60+58),1)</f>
        <v>450.4</v>
      </c>
      <c r="Z92" s="59">
        <f>SUM(D92:Y92)-SUM(D92,E92,F92,G92,H92,I92,J92)</f>
        <v>2951</v>
      </c>
    </row>
    <row r="93" spans="1:26" s="33" customFormat="1" ht="12" thickBot="1">
      <c r="A93" s="49" t="s">
        <v>262</v>
      </c>
      <c r="B93" s="48" t="s">
        <v>261</v>
      </c>
      <c r="C93" s="50">
        <v>1989</v>
      </c>
      <c r="D93" s="72">
        <f>ROUND(840661/(34*60+0),1)</f>
        <v>412.1</v>
      </c>
      <c r="E93" s="52">
        <v>0</v>
      </c>
      <c r="F93" s="56">
        <f>ROUND(1246898/(41*60+2),1)</f>
        <v>506.5</v>
      </c>
      <c r="G93" s="55">
        <v>0</v>
      </c>
      <c r="H93" s="57">
        <f>ROUND(700551/(22*60+3),1)</f>
        <v>529.5</v>
      </c>
      <c r="I93" s="52">
        <v>0</v>
      </c>
      <c r="J93" s="55">
        <v>0</v>
      </c>
      <c r="K93" s="55">
        <v>0</v>
      </c>
      <c r="L93" s="52">
        <v>0</v>
      </c>
      <c r="M93" s="55">
        <v>0</v>
      </c>
      <c r="N93" s="76">
        <v>0</v>
      </c>
      <c r="O93" s="56">
        <v>0</v>
      </c>
      <c r="P93" s="56">
        <v>0</v>
      </c>
      <c r="Q93" s="57">
        <f>ROUND(498569/(17*60+22),1)</f>
        <v>478.5</v>
      </c>
      <c r="R93" s="56">
        <v>0</v>
      </c>
      <c r="S93" s="76">
        <v>0</v>
      </c>
      <c r="T93" s="76">
        <v>0</v>
      </c>
      <c r="U93" s="56">
        <v>0</v>
      </c>
      <c r="V93" s="56">
        <v>0</v>
      </c>
      <c r="W93" s="52">
        <v>0</v>
      </c>
      <c r="X93" s="56">
        <f>ROUND(486180/(18*60+59),1)</f>
        <v>426.8</v>
      </c>
      <c r="Y93" s="58">
        <f>ROUND(778390/(33*60+1),1)</f>
        <v>392.9</v>
      </c>
      <c r="Z93" s="81">
        <f>SUM(D93:Y93)-SUM(E93,G93,I93,J93,K93,L93,M93)</f>
        <v>2746.3</v>
      </c>
    </row>
    <row r="94" spans="1:26" s="33" customFormat="1" ht="11.25">
      <c r="A94" s="99" t="s">
        <v>264</v>
      </c>
      <c r="B94" s="98" t="s">
        <v>263</v>
      </c>
      <c r="C94" s="100">
        <v>1953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3">
        <f>ROUND(642731/(16*60+18),1)</f>
        <v>657.2</v>
      </c>
      <c r="R94" s="102">
        <f>ROUND(579380/(13*60+1),1)</f>
        <v>741.8</v>
      </c>
      <c r="S94" s="104">
        <f>ROUND(1962548/(49*60+19),1)</f>
        <v>663.2</v>
      </c>
      <c r="T94" s="103">
        <f>ROUND(1712841/(45*60+11),1)</f>
        <v>631.8</v>
      </c>
      <c r="U94" s="102">
        <f>ROUND(1635170/(40*60+28),1)</f>
        <v>673.5</v>
      </c>
      <c r="V94" s="102">
        <v>0</v>
      </c>
      <c r="W94" s="101">
        <v>0</v>
      </c>
      <c r="X94" s="105">
        <v>0</v>
      </c>
      <c r="Y94" s="102">
        <v>0</v>
      </c>
      <c r="Z94" s="106">
        <f>SUM(D94:Y94)-SUM(D94,E94,F94,G94,H94,I94,J94)</f>
        <v>3367.5</v>
      </c>
    </row>
    <row r="95" spans="1:26" s="33" customFormat="1" ht="11.25">
      <c r="A95" s="108" t="s">
        <v>266</v>
      </c>
      <c r="B95" s="107" t="s">
        <v>265</v>
      </c>
      <c r="C95" s="109">
        <v>1992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f>ROUND(498000/(13*60+7.9),1)</f>
        <v>632.1</v>
      </c>
      <c r="P95" s="111">
        <f>ROUND(863690/(24*60+45),1)</f>
        <v>581.6</v>
      </c>
      <c r="Q95" s="112">
        <v>0</v>
      </c>
      <c r="R95" s="111">
        <v>0</v>
      </c>
      <c r="S95" s="112">
        <v>0</v>
      </c>
      <c r="T95" s="112">
        <v>0</v>
      </c>
      <c r="U95" s="111">
        <f>ROUND(1419000/(38*60+28),1)</f>
        <v>614.8</v>
      </c>
      <c r="V95" s="111">
        <v>0</v>
      </c>
      <c r="W95" s="110">
        <v>0</v>
      </c>
      <c r="X95" s="111">
        <f>ROUND(538910/(13*60+40),1)</f>
        <v>657.2</v>
      </c>
      <c r="Y95" s="113">
        <f>ROUND(863690/(22*60+36),1)</f>
        <v>636.9</v>
      </c>
      <c r="Z95" s="114">
        <f>SUM(D95:Y95)-SUM(D95,E95,F95,G95,H95,I95,J95)</f>
        <v>3122.6</v>
      </c>
    </row>
    <row r="96" spans="1:26" s="33" customFormat="1" ht="11.25">
      <c r="A96" s="108" t="s">
        <v>30</v>
      </c>
      <c r="B96" s="107" t="s">
        <v>267</v>
      </c>
      <c r="C96" s="109">
        <v>1993</v>
      </c>
      <c r="D96" s="110">
        <v>0</v>
      </c>
      <c r="E96" s="110">
        <v>0</v>
      </c>
      <c r="F96" s="111">
        <f>ROUND(1383525/(38*60+47),1)</f>
        <v>594.6</v>
      </c>
      <c r="G96" s="115">
        <f>ROUND(1795000/(51*60+27),1)</f>
        <v>581.5</v>
      </c>
      <c r="H96" s="116">
        <v>0</v>
      </c>
      <c r="I96" s="111">
        <f>ROUND(1884750/(53*60+12),1)</f>
        <v>590.5</v>
      </c>
      <c r="J96" s="116">
        <v>0</v>
      </c>
      <c r="K96" s="116">
        <v>0</v>
      </c>
      <c r="L96" s="110">
        <v>0</v>
      </c>
      <c r="M96" s="116">
        <v>0</v>
      </c>
      <c r="N96" s="117">
        <v>0</v>
      </c>
      <c r="O96" s="111">
        <v>0</v>
      </c>
      <c r="P96" s="111">
        <f>ROUND(863690/(23*60+46),1)</f>
        <v>605.7</v>
      </c>
      <c r="Q96" s="112">
        <v>0</v>
      </c>
      <c r="R96" s="115">
        <f>ROUND(498000/(12*60+7),1)</f>
        <v>685</v>
      </c>
      <c r="S96" s="112">
        <v>0</v>
      </c>
      <c r="T96" s="112">
        <v>0</v>
      </c>
      <c r="U96" s="111">
        <v>0</v>
      </c>
      <c r="V96" s="111">
        <v>0</v>
      </c>
      <c r="W96" s="110">
        <v>0</v>
      </c>
      <c r="X96" s="111">
        <v>0</v>
      </c>
      <c r="Y96" s="111">
        <v>0</v>
      </c>
      <c r="Z96" s="114">
        <f>SUM(D96:Y96)-SUM(D96,E96,H96,J96,K96,L96,M96)</f>
        <v>3057.3</v>
      </c>
    </row>
    <row r="97" spans="1:26" s="33" customFormat="1" ht="11.25">
      <c r="A97" s="118" t="s">
        <v>269</v>
      </c>
      <c r="B97" s="107" t="s">
        <v>268</v>
      </c>
      <c r="C97" s="119">
        <v>1963</v>
      </c>
      <c r="D97" s="110">
        <v>0</v>
      </c>
      <c r="E97" s="110">
        <v>0</v>
      </c>
      <c r="F97" s="110">
        <v>0</v>
      </c>
      <c r="G97" s="115">
        <f>ROUND(1878340/(54*60+15),1)</f>
        <v>577.1</v>
      </c>
      <c r="H97" s="115">
        <f>ROUND(817443/(22*60+30),1)</f>
        <v>605.5</v>
      </c>
      <c r="I97" s="110">
        <v>0</v>
      </c>
      <c r="J97" s="116">
        <v>0</v>
      </c>
      <c r="K97" s="115">
        <f>ROUND(1301029/(34*60+19),1)</f>
        <v>631.9</v>
      </c>
      <c r="L97" s="110">
        <v>0</v>
      </c>
      <c r="M97" s="116">
        <v>0</v>
      </c>
      <c r="N97" s="117">
        <v>0</v>
      </c>
      <c r="O97" s="111">
        <v>0</v>
      </c>
      <c r="P97" s="111">
        <v>0</v>
      </c>
      <c r="Q97" s="112">
        <v>0</v>
      </c>
      <c r="R97" s="111">
        <v>0</v>
      </c>
      <c r="S97" s="117">
        <v>0</v>
      </c>
      <c r="T97" s="112">
        <v>0</v>
      </c>
      <c r="U97" s="112">
        <v>0</v>
      </c>
      <c r="V97" s="111">
        <v>0</v>
      </c>
      <c r="W97" s="110">
        <v>0</v>
      </c>
      <c r="X97" s="111">
        <f>ROUND(569900/(14*60+55),1)</f>
        <v>636.8</v>
      </c>
      <c r="Y97" s="113">
        <f>ROUND(908270/(25*60+28),1)</f>
        <v>594.4</v>
      </c>
      <c r="Z97" s="114">
        <f>SUM(D97:Y97)-SUM(D97,E97,F97,I97,J97,L97,M97)</f>
        <v>3045.7000000000003</v>
      </c>
    </row>
    <row r="98" spans="1:26" s="33" customFormat="1" ht="11.25">
      <c r="A98" s="120" t="s">
        <v>78</v>
      </c>
      <c r="B98" s="107" t="s">
        <v>270</v>
      </c>
      <c r="C98" s="109">
        <v>2002</v>
      </c>
      <c r="D98" s="111">
        <f>ROUND(932785/(30*60+12),1)</f>
        <v>514.8</v>
      </c>
      <c r="E98" s="110">
        <v>0</v>
      </c>
      <c r="F98" s="110">
        <v>0</v>
      </c>
      <c r="G98" s="116">
        <v>0</v>
      </c>
      <c r="H98" s="116">
        <v>0</v>
      </c>
      <c r="I98" s="110">
        <v>0</v>
      </c>
      <c r="J98" s="116">
        <v>0</v>
      </c>
      <c r="K98" s="116">
        <v>0</v>
      </c>
      <c r="L98" s="111">
        <v>0</v>
      </c>
      <c r="M98" s="111">
        <v>0</v>
      </c>
      <c r="N98" s="115">
        <f>ROUND(12250000/19240,1)</f>
        <v>636.7</v>
      </c>
      <c r="O98" s="111">
        <v>0</v>
      </c>
      <c r="P98" s="115">
        <f>ROUND(863690/(32*60+12),1)</f>
        <v>447</v>
      </c>
      <c r="Q98" s="112">
        <v>0</v>
      </c>
      <c r="R98" s="111">
        <f>ROUND(498000/(12*60+42),1)</f>
        <v>653.5</v>
      </c>
      <c r="S98" s="112">
        <v>0</v>
      </c>
      <c r="T98" s="112">
        <v>0</v>
      </c>
      <c r="U98" s="111">
        <v>0</v>
      </c>
      <c r="V98" s="111">
        <v>0</v>
      </c>
      <c r="W98" s="110">
        <v>0</v>
      </c>
      <c r="X98" s="111">
        <f>ROUND(538910/(16*60+32),1)</f>
        <v>543.3</v>
      </c>
      <c r="Y98" s="111">
        <v>0</v>
      </c>
      <c r="Z98" s="114">
        <f>SUM(D98:Y98)-SUM(E98,F98,G98,H98,I98,J98,K98)</f>
        <v>2795.3</v>
      </c>
    </row>
    <row r="99" spans="1:26" s="33" customFormat="1" ht="11.25">
      <c r="A99" s="108" t="s">
        <v>272</v>
      </c>
      <c r="B99" s="107" t="s">
        <v>271</v>
      </c>
      <c r="C99" s="109">
        <v>1973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5">
        <f>ROUND(1201174/(26*60+24),1)</f>
        <v>758.3</v>
      </c>
      <c r="L99" s="121">
        <v>0</v>
      </c>
      <c r="M99" s="112">
        <v>0</v>
      </c>
      <c r="N99" s="112">
        <v>0</v>
      </c>
      <c r="O99" s="111">
        <v>0</v>
      </c>
      <c r="P99" s="111">
        <v>0</v>
      </c>
      <c r="Q99" s="112">
        <v>0</v>
      </c>
      <c r="R99" s="111">
        <v>0</v>
      </c>
      <c r="S99" s="112">
        <v>0</v>
      </c>
      <c r="T99" s="112">
        <v>0</v>
      </c>
      <c r="U99" s="111">
        <v>0</v>
      </c>
      <c r="V99" s="111">
        <f>ROUND(3596510/(87*60+22),1)</f>
        <v>686.1</v>
      </c>
      <c r="W99" s="110">
        <v>0</v>
      </c>
      <c r="X99" s="111">
        <f>ROUND(526170/(15*60+5),1)</f>
        <v>581.4</v>
      </c>
      <c r="Y99" s="111">
        <f>ROUND(838690/(21*60+12),1)</f>
        <v>659.3</v>
      </c>
      <c r="Z99" s="122">
        <f>SUM(D99:Y99)-SUM(D99,E99,F99,G99,H99,I99,J99)</f>
        <v>2685.1000000000004</v>
      </c>
    </row>
    <row r="100" spans="1:26" s="33" customFormat="1" ht="11.25">
      <c r="A100" s="108" t="s">
        <v>274</v>
      </c>
      <c r="B100" s="107" t="s">
        <v>273</v>
      </c>
      <c r="C100" s="109">
        <v>1968</v>
      </c>
      <c r="D100" s="115">
        <f>ROUND(941285/(25*60+23),1)</f>
        <v>618</v>
      </c>
      <c r="E100" s="110">
        <v>0</v>
      </c>
      <c r="F100" s="110">
        <v>0</v>
      </c>
      <c r="G100" s="115">
        <f>ROUND(1802200/(47*60+13),1)</f>
        <v>636.1</v>
      </c>
      <c r="H100" s="116">
        <v>0</v>
      </c>
      <c r="I100" s="111">
        <f>ROUND(1892310/(46*60+6),1)</f>
        <v>684.1</v>
      </c>
      <c r="J100" s="116">
        <v>0</v>
      </c>
      <c r="K100" s="115">
        <f>ROUND(1248336/(30*60+22),1)</f>
        <v>685.1</v>
      </c>
      <c r="L100" s="110">
        <v>0</v>
      </c>
      <c r="M100" s="116">
        <v>0</v>
      </c>
      <c r="N100" s="116">
        <v>0</v>
      </c>
      <c r="O100" s="111">
        <v>0</v>
      </c>
      <c r="P100" s="111">
        <v>0</v>
      </c>
      <c r="Q100" s="112">
        <v>0</v>
      </c>
      <c r="R100" s="111">
        <v>0</v>
      </c>
      <c r="S100" s="117">
        <v>0</v>
      </c>
      <c r="T100" s="112">
        <v>0</v>
      </c>
      <c r="U100" s="111">
        <v>0</v>
      </c>
      <c r="V100" s="111">
        <v>0</v>
      </c>
      <c r="W100" s="110">
        <v>0</v>
      </c>
      <c r="X100" s="111">
        <v>0</v>
      </c>
      <c r="Y100" s="111">
        <v>0</v>
      </c>
      <c r="Z100" s="114">
        <f>SUM(D100:Y100)-SUM(E100,F100,H100,J100,L100,M100,N100)</f>
        <v>2623.2999999999997</v>
      </c>
    </row>
    <row r="101" spans="1:26" s="33" customFormat="1" ht="11.25">
      <c r="A101" s="108" t="s">
        <v>276</v>
      </c>
      <c r="B101" s="107" t="s">
        <v>275</v>
      </c>
      <c r="C101" s="109">
        <v>1975</v>
      </c>
      <c r="D101" s="110">
        <v>0</v>
      </c>
      <c r="E101" s="110">
        <v>0</v>
      </c>
      <c r="F101" s="115">
        <f>ROUND(1290647/(34*60+45),1)</f>
        <v>619</v>
      </c>
      <c r="G101" s="116">
        <v>0</v>
      </c>
      <c r="H101" s="115">
        <f>ROUND(727920/(18*60+23),1)</f>
        <v>659.9</v>
      </c>
      <c r="I101" s="115">
        <f>ROUND(1755653/(44*60+17),1)</f>
        <v>660.8</v>
      </c>
      <c r="J101" s="116">
        <v>0</v>
      </c>
      <c r="K101" s="116">
        <v>0</v>
      </c>
      <c r="L101" s="110">
        <v>0</v>
      </c>
      <c r="M101" s="110">
        <v>0</v>
      </c>
      <c r="N101" s="117">
        <v>0</v>
      </c>
      <c r="O101" s="111">
        <v>0</v>
      </c>
      <c r="P101" s="111">
        <v>0</v>
      </c>
      <c r="Q101" s="115">
        <f>ROUND(520319/(12*60+52),1)</f>
        <v>674</v>
      </c>
      <c r="R101" s="111">
        <v>0</v>
      </c>
      <c r="S101" s="117">
        <v>0</v>
      </c>
      <c r="T101" s="112">
        <v>0</v>
      </c>
      <c r="U101" s="111">
        <v>0</v>
      </c>
      <c r="V101" s="111">
        <v>0</v>
      </c>
      <c r="W101" s="110">
        <v>0</v>
      </c>
      <c r="X101" s="111">
        <v>0</v>
      </c>
      <c r="Y101" s="111">
        <v>0</v>
      </c>
      <c r="Z101" s="114">
        <f>SUM(D101:Y101)-SUM(D101,E101,G101,J101,K101,L101,M101,N101)</f>
        <v>2613.7</v>
      </c>
    </row>
    <row r="102" spans="1:26" s="33" customFormat="1" ht="11.25">
      <c r="A102" s="108" t="s">
        <v>278</v>
      </c>
      <c r="B102" s="107" t="s">
        <v>277</v>
      </c>
      <c r="C102" s="119">
        <v>1969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23">
        <f>ROUND(1586647/(43*60+15),1)</f>
        <v>611.4</v>
      </c>
      <c r="K102" s="116">
        <v>0</v>
      </c>
      <c r="L102" s="121">
        <v>0</v>
      </c>
      <c r="M102" s="112">
        <v>0</v>
      </c>
      <c r="N102" s="112">
        <v>0</v>
      </c>
      <c r="O102" s="111">
        <v>0</v>
      </c>
      <c r="P102" s="111">
        <f>ROUND(838690/(21*60+11),1)</f>
        <v>659.9</v>
      </c>
      <c r="Q102" s="105">
        <v>0</v>
      </c>
      <c r="R102" s="111">
        <v>0</v>
      </c>
      <c r="S102" s="112">
        <v>0</v>
      </c>
      <c r="T102" s="112">
        <v>0</v>
      </c>
      <c r="U102" s="111">
        <v>0</v>
      </c>
      <c r="V102" s="111">
        <v>0</v>
      </c>
      <c r="W102" s="110">
        <v>0</v>
      </c>
      <c r="X102" s="111">
        <f>ROUND(526170/(13*60+56),1)</f>
        <v>629.4</v>
      </c>
      <c r="Y102" s="111">
        <f>ROUND(838690/(22*60+27),1)</f>
        <v>622.6</v>
      </c>
      <c r="Z102" s="122">
        <f>SUM(D102:Y102)-SUM(D102,E102,F102,G102,H102,I102,K102)</f>
        <v>2523.2999999999997</v>
      </c>
    </row>
    <row r="103" spans="1:26" s="33" customFormat="1" ht="11.25">
      <c r="A103" s="108" t="s">
        <v>280</v>
      </c>
      <c r="B103" s="107" t="s">
        <v>279</v>
      </c>
      <c r="C103" s="119">
        <v>1977</v>
      </c>
      <c r="D103" s="110">
        <v>0</v>
      </c>
      <c r="E103" s="110">
        <v>0</v>
      </c>
      <c r="F103" s="110">
        <v>0</v>
      </c>
      <c r="G103" s="115">
        <f>ROUND(1672050/(49*60+5),1)</f>
        <v>567.8</v>
      </c>
      <c r="H103" s="116">
        <v>0</v>
      </c>
      <c r="I103" s="116">
        <v>0</v>
      </c>
      <c r="J103" s="116">
        <v>0</v>
      </c>
      <c r="K103" s="116">
        <v>0</v>
      </c>
      <c r="L103" s="121">
        <v>0</v>
      </c>
      <c r="M103" s="112">
        <v>0</v>
      </c>
      <c r="N103" s="112">
        <v>0</v>
      </c>
      <c r="O103" s="111">
        <v>0</v>
      </c>
      <c r="P103" s="111">
        <v>0</v>
      </c>
      <c r="Q103" s="105">
        <v>0</v>
      </c>
      <c r="R103" s="111">
        <v>0</v>
      </c>
      <c r="S103" s="112">
        <v>0</v>
      </c>
      <c r="T103" s="112">
        <v>0</v>
      </c>
      <c r="U103" s="111">
        <f>ROUND(1323740/(33*60+22),1)</f>
        <v>661.2</v>
      </c>
      <c r="V103" s="111">
        <f>ROUND(3468450/(94*60+54),1)</f>
        <v>609.1</v>
      </c>
      <c r="W103" s="110">
        <v>0</v>
      </c>
      <c r="X103" s="111">
        <f>ROUND(507390/(12*60+52),1)</f>
        <v>657.2</v>
      </c>
      <c r="Y103" s="111">
        <v>0</v>
      </c>
      <c r="Z103" s="114">
        <f>SUM(D103:Y103)-SUM(D103,E103,F103,H103,I103,J103,K103)</f>
        <v>2495.3</v>
      </c>
    </row>
    <row r="104" spans="1:26" s="33" customFormat="1" ht="11.25">
      <c r="A104" s="124" t="s">
        <v>59</v>
      </c>
      <c r="B104" s="107" t="s">
        <v>281</v>
      </c>
      <c r="C104" s="125">
        <v>1971</v>
      </c>
      <c r="D104" s="111">
        <f>ROUND(905785/(26*60+4),1)</f>
        <v>579.1</v>
      </c>
      <c r="E104" s="110">
        <v>0</v>
      </c>
      <c r="F104" s="110">
        <v>0</v>
      </c>
      <c r="G104" s="115">
        <f>ROUND(1734040/(50*60+7),1)</f>
        <v>576.7</v>
      </c>
      <c r="H104" s="115">
        <f>ROUND(754821/(21*60+1),1)</f>
        <v>598.6</v>
      </c>
      <c r="I104" s="111">
        <f>ROUND(1820742/(50*60+31),1)</f>
        <v>600.7</v>
      </c>
      <c r="J104" s="116">
        <v>0</v>
      </c>
      <c r="K104" s="116">
        <v>0</v>
      </c>
      <c r="L104" s="110">
        <v>0</v>
      </c>
      <c r="M104" s="116">
        <v>0</v>
      </c>
      <c r="N104" s="116">
        <v>0</v>
      </c>
      <c r="O104" s="111">
        <v>0</v>
      </c>
      <c r="P104" s="111">
        <v>0</v>
      </c>
      <c r="Q104" s="105">
        <v>0</v>
      </c>
      <c r="R104" s="111">
        <v>0</v>
      </c>
      <c r="S104" s="117">
        <v>0</v>
      </c>
      <c r="T104" s="112">
        <v>0</v>
      </c>
      <c r="U104" s="111">
        <v>0</v>
      </c>
      <c r="V104" s="111">
        <v>0</v>
      </c>
      <c r="W104" s="110">
        <v>0</v>
      </c>
      <c r="X104" s="111">
        <v>0</v>
      </c>
      <c r="Y104" s="111">
        <v>0</v>
      </c>
      <c r="Z104" s="114">
        <f>SUM(D104:Y104)-SUM(E104,F104,J104,K104,L104,M104,N104)</f>
        <v>2355.1000000000004</v>
      </c>
    </row>
    <row r="105" spans="1:26" s="33" customFormat="1" ht="11.25">
      <c r="A105" s="108" t="s">
        <v>283</v>
      </c>
      <c r="B105" s="107" t="s">
        <v>282</v>
      </c>
      <c r="C105" s="109">
        <v>1973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1">
        <f>ROUND(1820742/(54*60+38),1)</f>
        <v>555.4</v>
      </c>
      <c r="J105" s="116">
        <v>0</v>
      </c>
      <c r="K105" s="116">
        <v>0</v>
      </c>
      <c r="L105" s="111">
        <v>0</v>
      </c>
      <c r="M105" s="112">
        <v>0</v>
      </c>
      <c r="N105" s="112">
        <v>0</v>
      </c>
      <c r="O105" s="111">
        <v>0</v>
      </c>
      <c r="P105" s="111">
        <v>0</v>
      </c>
      <c r="Q105" s="112">
        <v>0</v>
      </c>
      <c r="R105" s="111">
        <v>0</v>
      </c>
      <c r="S105" s="112">
        <v>0</v>
      </c>
      <c r="T105" s="115">
        <f>ROUND(1437977/(41*60+31),1)</f>
        <v>577.3</v>
      </c>
      <c r="U105" s="111">
        <v>0</v>
      </c>
      <c r="V105" s="111">
        <v>0</v>
      </c>
      <c r="W105" s="110">
        <v>0</v>
      </c>
      <c r="X105" s="111">
        <f>ROUND(526170/(14*60+8),1)</f>
        <v>620.5</v>
      </c>
      <c r="Y105" s="111">
        <f>ROUND(838690/(23*60+17),1)</f>
        <v>600.4</v>
      </c>
      <c r="Z105" s="122">
        <f>SUM(D105:Y105)-SUM(D105,E105,F105,G105,H105,J105,K105)</f>
        <v>2353.6</v>
      </c>
    </row>
    <row r="106" spans="1:26" s="33" customFormat="1" ht="11.25">
      <c r="A106" s="108" t="s">
        <v>285</v>
      </c>
      <c r="B106" s="107" t="s">
        <v>284</v>
      </c>
      <c r="C106" s="109">
        <v>2003</v>
      </c>
      <c r="D106" s="110">
        <v>0</v>
      </c>
      <c r="E106" s="110">
        <v>0</v>
      </c>
      <c r="F106" s="111">
        <f>ROUND(1246898/(36*60+21),1)</f>
        <v>571.7</v>
      </c>
      <c r="G106" s="115">
        <f>ROUND(1618380/(49*60+23),1)</f>
        <v>546.2</v>
      </c>
      <c r="H106" s="115">
        <f>ROUND(700551/(19*60+2),1)</f>
        <v>613.4</v>
      </c>
      <c r="I106" s="110">
        <v>0</v>
      </c>
      <c r="J106" s="116">
        <v>0</v>
      </c>
      <c r="K106" s="116">
        <v>0</v>
      </c>
      <c r="L106" s="110">
        <v>0</v>
      </c>
      <c r="M106" s="116">
        <v>0</v>
      </c>
      <c r="N106" s="112">
        <v>0</v>
      </c>
      <c r="O106" s="111">
        <v>0</v>
      </c>
      <c r="P106" s="111">
        <v>0</v>
      </c>
      <c r="Q106" s="112">
        <v>0</v>
      </c>
      <c r="R106" s="111">
        <v>0</v>
      </c>
      <c r="S106" s="112">
        <v>0</v>
      </c>
      <c r="T106" s="112">
        <v>0</v>
      </c>
      <c r="U106" s="111">
        <v>0</v>
      </c>
      <c r="V106" s="111">
        <v>0</v>
      </c>
      <c r="W106" s="110">
        <v>0</v>
      </c>
      <c r="X106" s="111">
        <v>0</v>
      </c>
      <c r="Y106" s="111">
        <f>ROUND(778390/(23*60+21),1)</f>
        <v>555.6</v>
      </c>
      <c r="Z106" s="122">
        <f>SUM(D106:Y106)-SUM(D106,E106,I106,J106,K106,L106,M106)</f>
        <v>2286.9</v>
      </c>
    </row>
    <row r="107" spans="1:26" s="33" customFormat="1" ht="11.25">
      <c r="A107" s="108" t="s">
        <v>287</v>
      </c>
      <c r="B107" s="107" t="s">
        <v>286</v>
      </c>
      <c r="C107" s="119">
        <v>1965</v>
      </c>
      <c r="D107" s="111">
        <f>ROUND(1067990/(42*60+36),1)</f>
        <v>417.8</v>
      </c>
      <c r="E107" s="110">
        <v>0</v>
      </c>
      <c r="F107" s="111">
        <f>ROUND(1577209/(60*60+52),1)</f>
        <v>431.9</v>
      </c>
      <c r="G107" s="116">
        <v>0</v>
      </c>
      <c r="H107" s="115">
        <f>ROUND(889992/(33*60+36),1)</f>
        <v>441.5</v>
      </c>
      <c r="I107" s="110">
        <v>0</v>
      </c>
      <c r="J107" s="116">
        <v>0</v>
      </c>
      <c r="K107" s="116">
        <v>0</v>
      </c>
      <c r="L107" s="110">
        <v>0</v>
      </c>
      <c r="M107" s="116">
        <v>0</v>
      </c>
      <c r="N107" s="112">
        <v>0</v>
      </c>
      <c r="O107" s="111">
        <v>0</v>
      </c>
      <c r="P107" s="111">
        <v>0</v>
      </c>
      <c r="Q107" s="112">
        <v>0</v>
      </c>
      <c r="R107" s="111">
        <v>0</v>
      </c>
      <c r="S107" s="112">
        <v>0</v>
      </c>
      <c r="T107" s="112">
        <v>0</v>
      </c>
      <c r="U107" s="111">
        <v>0</v>
      </c>
      <c r="V107" s="111">
        <v>0</v>
      </c>
      <c r="W107" s="110">
        <v>0</v>
      </c>
      <c r="X107" s="111">
        <f>ROUND(620080/(22*60+8),1)</f>
        <v>466.9</v>
      </c>
      <c r="Y107" s="111">
        <f>ROUND(988880/(38*60+40),1)</f>
        <v>426.2</v>
      </c>
      <c r="Z107" s="122">
        <f>SUM(D107:Y107)-SUM(E107,G107,I107,J107,K107,L107,M107)</f>
        <v>2184.2999999999997</v>
      </c>
    </row>
    <row r="108" spans="1:26" s="33" customFormat="1" ht="11.25">
      <c r="A108" s="108" t="s">
        <v>289</v>
      </c>
      <c r="B108" s="107" t="s">
        <v>288</v>
      </c>
      <c r="C108" s="109">
        <v>2003</v>
      </c>
      <c r="D108" s="110">
        <v>0</v>
      </c>
      <c r="E108" s="110">
        <v>0</v>
      </c>
      <c r="F108" s="110">
        <v>0</v>
      </c>
      <c r="G108" s="115">
        <f>ROUND(1618380/(48*60+32),1)</f>
        <v>555.8</v>
      </c>
      <c r="H108" s="115">
        <f>ROUND(700551/(17*60+19),1)</f>
        <v>674.3</v>
      </c>
      <c r="I108" s="110">
        <v>0</v>
      </c>
      <c r="J108" s="116">
        <v>0</v>
      </c>
      <c r="K108" s="116">
        <v>0</v>
      </c>
      <c r="L108" s="110">
        <v>0</v>
      </c>
      <c r="M108" s="117">
        <v>0</v>
      </c>
      <c r="N108" s="112">
        <v>0</v>
      </c>
      <c r="O108" s="111">
        <v>0</v>
      </c>
      <c r="P108" s="111">
        <v>0</v>
      </c>
      <c r="Q108" s="112">
        <v>0</v>
      </c>
      <c r="R108" s="111">
        <f>ROUND(448960/(10*60+20),1)</f>
        <v>724.1</v>
      </c>
      <c r="S108" s="112">
        <v>0</v>
      </c>
      <c r="T108" s="112">
        <v>0</v>
      </c>
      <c r="U108" s="111">
        <v>0</v>
      </c>
      <c r="V108" s="111">
        <v>0</v>
      </c>
      <c r="W108" s="110">
        <v>0</v>
      </c>
      <c r="X108" s="111">
        <v>0</v>
      </c>
      <c r="Y108" s="111">
        <v>0</v>
      </c>
      <c r="Z108" s="122">
        <f>SUM(D108:Y108)-SUM(D108,E108,F108,I108,J108,K108,L108)</f>
        <v>1954.1999999999998</v>
      </c>
    </row>
    <row r="109" spans="1:26" s="33" customFormat="1" ht="11.25">
      <c r="A109" s="108" t="s">
        <v>291</v>
      </c>
      <c r="B109" s="107" t="s">
        <v>290</v>
      </c>
      <c r="C109" s="109">
        <v>1974</v>
      </c>
      <c r="D109" s="110">
        <v>0</v>
      </c>
      <c r="E109" s="110">
        <v>0</v>
      </c>
      <c r="F109" s="110">
        <v>0</v>
      </c>
      <c r="G109" s="104">
        <f>ROUND(1872720/(86*60+37),1)</f>
        <v>360.3</v>
      </c>
      <c r="H109" s="126">
        <v>0</v>
      </c>
      <c r="I109" s="110">
        <v>0</v>
      </c>
      <c r="J109" s="116">
        <v>0</v>
      </c>
      <c r="K109" s="126">
        <v>0</v>
      </c>
      <c r="L109" s="111">
        <v>0</v>
      </c>
      <c r="M109" s="115">
        <f>ROUND(1223912/(51*60+35),1)</f>
        <v>395.4</v>
      </c>
      <c r="N109" s="112">
        <v>0</v>
      </c>
      <c r="O109" s="111">
        <v>0</v>
      </c>
      <c r="P109" s="121">
        <v>0</v>
      </c>
      <c r="Q109" s="112">
        <v>0</v>
      </c>
      <c r="R109" s="111">
        <v>0</v>
      </c>
      <c r="S109" s="112">
        <v>0</v>
      </c>
      <c r="T109" s="112">
        <v>0</v>
      </c>
      <c r="U109" s="111">
        <f>ROUND(1483530/(58*60+59),1)</f>
        <v>419.2</v>
      </c>
      <c r="V109" s="111">
        <v>0</v>
      </c>
      <c r="W109" s="110">
        <v>0</v>
      </c>
      <c r="X109" s="111">
        <f>ROUND(568350/(22*60+54),1)</f>
        <v>413.6</v>
      </c>
      <c r="Y109" s="123">
        <f>ROUND(906760/(41*60+24),1)</f>
        <v>365</v>
      </c>
      <c r="Z109" s="122">
        <f>SUM(D109:Y109)-SUM(D109,E109,F109,H109,I109,J109,K109)</f>
        <v>1953.5</v>
      </c>
    </row>
    <row r="110" spans="1:26" s="33" customFormat="1" ht="11.25">
      <c r="A110" s="108" t="s">
        <v>293</v>
      </c>
      <c r="B110" s="107" t="s">
        <v>292</v>
      </c>
      <c r="C110" s="109">
        <v>1973</v>
      </c>
      <c r="D110" s="110">
        <v>0</v>
      </c>
      <c r="E110" s="110">
        <v>0</v>
      </c>
      <c r="F110" s="111">
        <f>ROUND(1508423/(39*60+40),1)</f>
        <v>633.8</v>
      </c>
      <c r="G110" s="123">
        <f>ROUND(1952790/(52*60+35),1)</f>
        <v>619</v>
      </c>
      <c r="H110" s="116">
        <v>0</v>
      </c>
      <c r="I110" s="111">
        <f>ROUND(2050430/(52*60+38),1)</f>
        <v>649.3</v>
      </c>
      <c r="J110" s="116">
        <v>0</v>
      </c>
      <c r="K110" s="116">
        <v>0</v>
      </c>
      <c r="L110" s="110">
        <v>0</v>
      </c>
      <c r="M110" s="116">
        <v>0</v>
      </c>
      <c r="N110" s="117">
        <v>0</v>
      </c>
      <c r="O110" s="121">
        <v>0</v>
      </c>
      <c r="P110" s="121">
        <v>0</v>
      </c>
      <c r="Q110" s="117">
        <v>0</v>
      </c>
      <c r="R110" s="121">
        <v>0</v>
      </c>
      <c r="S110" s="117">
        <v>0</v>
      </c>
      <c r="T110" s="117">
        <v>0</v>
      </c>
      <c r="U110" s="111">
        <v>0</v>
      </c>
      <c r="V110" s="121">
        <v>0</v>
      </c>
      <c r="W110" s="110">
        <v>0</v>
      </c>
      <c r="X110" s="121">
        <v>0</v>
      </c>
      <c r="Y110" s="121">
        <v>0</v>
      </c>
      <c r="Z110" s="122">
        <f>SUM(D110:Y110)-SUM(D110,E110,H110,J110,K110,L110,M110,N110)</f>
        <v>1902.1</v>
      </c>
    </row>
    <row r="111" spans="1:26" s="33" customFormat="1" ht="11.25">
      <c r="A111" s="108" t="s">
        <v>295</v>
      </c>
      <c r="B111" s="107" t="s">
        <v>294</v>
      </c>
      <c r="C111" s="109">
        <v>1976</v>
      </c>
      <c r="D111" s="110">
        <v>0</v>
      </c>
      <c r="E111" s="110">
        <v>0</v>
      </c>
      <c r="F111" s="111">
        <f>ROUND(1290647/(34*60+42),1)</f>
        <v>619.9</v>
      </c>
      <c r="G111" s="115">
        <f>ROUND(1672050/(50*60+4),1)</f>
        <v>556.6</v>
      </c>
      <c r="H111" s="116">
        <v>0</v>
      </c>
      <c r="I111" s="115">
        <f>ROUND(1755653/(45*60+34),1)</f>
        <v>642.2</v>
      </c>
      <c r="J111" s="116">
        <v>0</v>
      </c>
      <c r="K111" s="116">
        <v>0</v>
      </c>
      <c r="L111" s="110">
        <v>0</v>
      </c>
      <c r="M111" s="116">
        <v>0</v>
      </c>
      <c r="N111" s="117">
        <v>0</v>
      </c>
      <c r="O111" s="111">
        <v>0</v>
      </c>
      <c r="P111" s="111">
        <v>0</v>
      </c>
      <c r="Q111" s="112">
        <v>0</v>
      </c>
      <c r="R111" s="111">
        <v>0</v>
      </c>
      <c r="S111" s="117">
        <v>0</v>
      </c>
      <c r="T111" s="112">
        <v>0</v>
      </c>
      <c r="U111" s="111">
        <v>0</v>
      </c>
      <c r="V111" s="111">
        <v>0</v>
      </c>
      <c r="W111" s="110">
        <v>0</v>
      </c>
      <c r="X111" s="111">
        <v>0</v>
      </c>
      <c r="Y111" s="111">
        <v>0</v>
      </c>
      <c r="Z111" s="122">
        <f>SUM(D111:Y111)-SUM(D111,E111,H111,J111,K111,L111,M111)</f>
        <v>1818.7</v>
      </c>
    </row>
    <row r="112" spans="1:26" s="33" customFormat="1" ht="11.25">
      <c r="A112" s="118" t="s">
        <v>297</v>
      </c>
      <c r="B112" s="107" t="s">
        <v>296</v>
      </c>
      <c r="C112" s="109">
        <v>1973</v>
      </c>
      <c r="D112" s="110">
        <v>0</v>
      </c>
      <c r="E112" s="111">
        <f>ROUND(838690/(24*60+43),1)</f>
        <v>565.5</v>
      </c>
      <c r="F112" s="110">
        <v>0</v>
      </c>
      <c r="G112" s="115">
        <f>ROUND(1734040/(53*60+45),1)</f>
        <v>537.7</v>
      </c>
      <c r="H112" s="115">
        <f>ROUND(754821/(20*60+12),1)</f>
        <v>622.8</v>
      </c>
      <c r="I112" s="110">
        <v>0</v>
      </c>
      <c r="J112" s="116">
        <v>0</v>
      </c>
      <c r="K112" s="116">
        <v>0</v>
      </c>
      <c r="L112" s="110">
        <v>0</v>
      </c>
      <c r="M112" s="116">
        <v>0</v>
      </c>
      <c r="N112" s="105">
        <v>0</v>
      </c>
      <c r="O112" s="102">
        <v>0</v>
      </c>
      <c r="P112" s="102">
        <v>0</v>
      </c>
      <c r="Q112" s="112">
        <v>0</v>
      </c>
      <c r="R112" s="102">
        <v>0</v>
      </c>
      <c r="S112" s="117">
        <v>0</v>
      </c>
      <c r="T112" s="112">
        <v>0</v>
      </c>
      <c r="U112" s="111">
        <v>0</v>
      </c>
      <c r="V112" s="102">
        <v>0</v>
      </c>
      <c r="W112" s="110">
        <v>0</v>
      </c>
      <c r="X112" s="102">
        <v>0</v>
      </c>
      <c r="Y112" s="102">
        <v>0</v>
      </c>
      <c r="Z112" s="122">
        <f>SUM(D112:Y112)-SUM(D112,F112,I112,J112,K112,L112,M112)</f>
        <v>1726</v>
      </c>
    </row>
    <row r="113" spans="1:26" s="33" customFormat="1" ht="11.25">
      <c r="A113" s="108" t="s">
        <v>299</v>
      </c>
      <c r="B113" s="107" t="s">
        <v>298</v>
      </c>
      <c r="C113" s="109">
        <v>1978</v>
      </c>
      <c r="D113" s="110">
        <v>0</v>
      </c>
      <c r="E113" s="110">
        <v>0</v>
      </c>
      <c r="F113" s="110">
        <v>0</v>
      </c>
      <c r="G113" s="115">
        <f>ROUND(1672050/(50*60+33),1)</f>
        <v>551.3</v>
      </c>
      <c r="H113" s="116">
        <v>0</v>
      </c>
      <c r="I113" s="115">
        <f>ROUND(1755653/(48*60+44),1)</f>
        <v>600.4</v>
      </c>
      <c r="J113" s="116">
        <v>0</v>
      </c>
      <c r="K113" s="116">
        <v>0</v>
      </c>
      <c r="L113" s="110">
        <v>0</v>
      </c>
      <c r="M113" s="117">
        <v>0</v>
      </c>
      <c r="N113" s="112">
        <v>0</v>
      </c>
      <c r="O113" s="111">
        <v>0</v>
      </c>
      <c r="P113" s="111">
        <v>0</v>
      </c>
      <c r="Q113" s="112">
        <v>0</v>
      </c>
      <c r="R113" s="111">
        <v>0</v>
      </c>
      <c r="S113" s="112">
        <v>0</v>
      </c>
      <c r="T113" s="112">
        <v>0</v>
      </c>
      <c r="U113" s="111">
        <v>0</v>
      </c>
      <c r="V113" s="111">
        <v>0</v>
      </c>
      <c r="W113" s="110">
        <v>0</v>
      </c>
      <c r="X113" s="111">
        <v>0</v>
      </c>
      <c r="Y113" s="111">
        <f>ROUND(808800/(24*60+11),1)</f>
        <v>557.4</v>
      </c>
      <c r="Z113" s="122">
        <f>SUM(D113:Y113)-SUM(D113,E113,F113,H113,J113,K113,L113)</f>
        <v>1709.1</v>
      </c>
    </row>
    <row r="114" spans="1:26" s="33" customFormat="1" ht="11.25">
      <c r="A114" s="108" t="s">
        <v>301</v>
      </c>
      <c r="B114" s="107" t="s">
        <v>300</v>
      </c>
      <c r="C114" s="109">
        <v>1973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23">
        <f>ROUND(1586647/(50*60+59),1)</f>
        <v>518.7</v>
      </c>
      <c r="K114" s="116">
        <v>0</v>
      </c>
      <c r="L114" s="111">
        <f>ROUND(972880/(28*60+8),1)</f>
        <v>576.4</v>
      </c>
      <c r="M114" s="117">
        <v>0</v>
      </c>
      <c r="N114" s="112">
        <v>0</v>
      </c>
      <c r="O114" s="111">
        <v>0</v>
      </c>
      <c r="P114" s="111">
        <v>0</v>
      </c>
      <c r="Q114" s="103">
        <f>ROUND(539578/(15*60+43),1)</f>
        <v>572.2</v>
      </c>
      <c r="R114" s="111">
        <v>0</v>
      </c>
      <c r="S114" s="117">
        <v>0</v>
      </c>
      <c r="T114" s="112">
        <v>0</v>
      </c>
      <c r="U114" s="111">
        <v>0</v>
      </c>
      <c r="V114" s="111">
        <v>0</v>
      </c>
      <c r="W114" s="110">
        <v>0</v>
      </c>
      <c r="X114" s="111">
        <v>0</v>
      </c>
      <c r="Y114" s="111">
        <v>0</v>
      </c>
      <c r="Z114" s="122">
        <f>SUM(D114:Y114)-SUM(D114,E114,F114,G114,H114,I114,K114)</f>
        <v>1667.3</v>
      </c>
    </row>
    <row r="115" spans="1:26" s="33" customFormat="1" ht="11.25">
      <c r="A115" s="108" t="s">
        <v>303</v>
      </c>
      <c r="B115" s="107" t="s">
        <v>302</v>
      </c>
      <c r="C115" s="109">
        <v>1950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1">
        <f>ROUND(2169132/(65*60+42),1)</f>
        <v>550.3</v>
      </c>
      <c r="J115" s="116">
        <v>0</v>
      </c>
      <c r="K115" s="116">
        <v>0</v>
      </c>
      <c r="L115" s="111">
        <v>0</v>
      </c>
      <c r="M115" s="112">
        <v>0</v>
      </c>
      <c r="N115" s="112">
        <v>0</v>
      </c>
      <c r="O115" s="111">
        <v>0</v>
      </c>
      <c r="P115" s="111">
        <v>0</v>
      </c>
      <c r="Q115" s="112">
        <v>0</v>
      </c>
      <c r="R115" s="111">
        <v>0</v>
      </c>
      <c r="S115" s="112">
        <v>0</v>
      </c>
      <c r="T115" s="112">
        <v>0</v>
      </c>
      <c r="U115" s="111">
        <v>0</v>
      </c>
      <c r="V115" s="111">
        <v>0</v>
      </c>
      <c r="W115" s="110">
        <v>0</v>
      </c>
      <c r="X115" s="115">
        <f>ROUND(626760/(18*60+18),1)</f>
        <v>570.8</v>
      </c>
      <c r="Y115" s="111">
        <f>ROUND(998700/(30*60+56),1)</f>
        <v>538.1</v>
      </c>
      <c r="Z115" s="122">
        <f>SUM(D115:Y115)-SUM(D115,E115,F115,G115,H115,J115,K115)</f>
        <v>1659.1999999999998</v>
      </c>
    </row>
    <row r="116" spans="1:26" s="33" customFormat="1" ht="11.25">
      <c r="A116" s="108" t="s">
        <v>305</v>
      </c>
      <c r="B116" s="107" t="s">
        <v>304</v>
      </c>
      <c r="C116" s="109">
        <v>1972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11">
        <v>0</v>
      </c>
      <c r="U116" s="111">
        <f>ROUND(1372770/(41*60+30),1)</f>
        <v>551.3</v>
      </c>
      <c r="V116" s="111">
        <v>0</v>
      </c>
      <c r="W116" s="110">
        <v>0</v>
      </c>
      <c r="X116" s="111">
        <f>ROUND(526170/(15*60+21),1)</f>
        <v>571.3</v>
      </c>
      <c r="Y116" s="111">
        <f>ROUND(838690/(27*60+38),1)</f>
        <v>505.8</v>
      </c>
      <c r="Z116" s="122">
        <f>SUM(D116:Y116)-SUM(D116,E116,F116,G116,H116,I116,J116)</f>
        <v>1628.3999999999999</v>
      </c>
    </row>
    <row r="117" spans="1:26" s="33" customFormat="1" ht="11.25">
      <c r="A117" s="127" t="s">
        <v>307</v>
      </c>
      <c r="B117" s="107" t="s">
        <v>306</v>
      </c>
      <c r="C117" s="128">
        <v>2007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03">
        <f>ROUND(552642/(16*60+45),1)</f>
        <v>549.9</v>
      </c>
      <c r="R117" s="111">
        <v>0</v>
      </c>
      <c r="S117" s="112">
        <v>0</v>
      </c>
      <c r="T117" s="112">
        <v>0</v>
      </c>
      <c r="U117" s="115">
        <f>ROUND(1419000/(45*60+8),1)</f>
        <v>524</v>
      </c>
      <c r="V117" s="111">
        <v>0</v>
      </c>
      <c r="W117" s="110">
        <v>0</v>
      </c>
      <c r="X117" s="115">
        <f>ROUND(538910/(16*60+38),1)</f>
        <v>540</v>
      </c>
      <c r="Y117" s="111">
        <v>0</v>
      </c>
      <c r="Z117" s="122">
        <f>SUM(D117:Y117)-SUM(D117,E117,F117,G117,H117,I117,J117)</f>
        <v>1613.9</v>
      </c>
    </row>
    <row r="118" spans="1:26" s="33" customFormat="1" ht="11.25">
      <c r="A118" s="108" t="s">
        <v>309</v>
      </c>
      <c r="B118" s="107" t="s">
        <v>308</v>
      </c>
      <c r="C118" s="109">
        <v>2003</v>
      </c>
      <c r="D118" s="110">
        <v>0</v>
      </c>
      <c r="E118" s="110">
        <v>0</v>
      </c>
      <c r="F118" s="115">
        <f>ROUND(1383525/(41*60+33),1)</f>
        <v>555</v>
      </c>
      <c r="G118" s="115">
        <f>ROUND(1795000/(59*60+39),1)</f>
        <v>501.5</v>
      </c>
      <c r="H118" s="115">
        <f>ROUND(777321/(28*60+6),1)</f>
        <v>461</v>
      </c>
      <c r="I118" s="110">
        <v>0</v>
      </c>
      <c r="J118" s="116">
        <v>0</v>
      </c>
      <c r="K118" s="116">
        <v>0</v>
      </c>
      <c r="L118" s="110">
        <v>0</v>
      </c>
      <c r="M118" s="116">
        <v>0</v>
      </c>
      <c r="N118" s="112">
        <v>0</v>
      </c>
      <c r="O118" s="111">
        <v>0</v>
      </c>
      <c r="P118" s="111">
        <v>0</v>
      </c>
      <c r="Q118" s="112">
        <v>0</v>
      </c>
      <c r="R118" s="111">
        <v>0</v>
      </c>
      <c r="S118" s="112">
        <v>0</v>
      </c>
      <c r="T118" s="112">
        <v>0</v>
      </c>
      <c r="U118" s="111">
        <v>0</v>
      </c>
      <c r="V118" s="111">
        <v>0</v>
      </c>
      <c r="W118" s="110">
        <v>0</v>
      </c>
      <c r="X118" s="111">
        <v>0</v>
      </c>
      <c r="Y118" s="111">
        <v>0</v>
      </c>
      <c r="Z118" s="122">
        <f>SUM(D118:Y118)-SUM(D118,E118,I118,J118,K118,L118,M118)</f>
        <v>1517.5</v>
      </c>
    </row>
    <row r="119" spans="1:26" s="33" customFormat="1" ht="11.25">
      <c r="A119" s="108" t="s">
        <v>311</v>
      </c>
      <c r="B119" s="107" t="s">
        <v>310</v>
      </c>
      <c r="C119" s="109">
        <v>1970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1">
        <v>0</v>
      </c>
      <c r="L119" s="111">
        <v>0</v>
      </c>
      <c r="M119" s="111">
        <v>0</v>
      </c>
      <c r="N119" s="111">
        <v>0</v>
      </c>
      <c r="O119" s="121">
        <f>ROUND(548340/(16*60+46.6),1)</f>
        <v>544.7</v>
      </c>
      <c r="P119" s="121">
        <v>0</v>
      </c>
      <c r="Q119" s="117">
        <v>0</v>
      </c>
      <c r="R119" s="121">
        <v>0</v>
      </c>
      <c r="S119" s="112">
        <v>0</v>
      </c>
      <c r="T119" s="112">
        <v>0</v>
      </c>
      <c r="U119" s="111">
        <v>0</v>
      </c>
      <c r="V119" s="121">
        <v>0</v>
      </c>
      <c r="W119" s="110">
        <v>0</v>
      </c>
      <c r="X119" s="121">
        <f>ROUND(592860/(20*60+6),1)</f>
        <v>491.6</v>
      </c>
      <c r="Y119" s="121">
        <f>ROUND(945680/(35*60+45),1)</f>
        <v>440.9</v>
      </c>
      <c r="Z119" s="122">
        <f>SUM(D119:Y119)-SUM(D119,E119,F119,G119,H119,I119,J119)</f>
        <v>1477.2000000000003</v>
      </c>
    </row>
    <row r="120" spans="1:26" s="33" customFormat="1" ht="11.25">
      <c r="A120" s="108" t="s">
        <v>313</v>
      </c>
      <c r="B120" s="107" t="s">
        <v>312</v>
      </c>
      <c r="C120" s="109">
        <v>2004</v>
      </c>
      <c r="D120" s="110">
        <v>0</v>
      </c>
      <c r="E120" s="110">
        <v>0</v>
      </c>
      <c r="F120" s="111">
        <f>ROUND(1383525/(43*60+31),1)</f>
        <v>529.9</v>
      </c>
      <c r="G120" s="116">
        <v>0</v>
      </c>
      <c r="H120" s="115">
        <f>ROUND(777321/(28*60+3),1)</f>
        <v>461.9</v>
      </c>
      <c r="I120" s="110">
        <v>0</v>
      </c>
      <c r="J120" s="116">
        <v>0</v>
      </c>
      <c r="K120" s="116">
        <v>0</v>
      </c>
      <c r="L120" s="110">
        <v>0</v>
      </c>
      <c r="M120" s="117">
        <v>0</v>
      </c>
      <c r="N120" s="112">
        <v>0</v>
      </c>
      <c r="O120" s="111">
        <v>0</v>
      </c>
      <c r="P120" s="111">
        <v>0</v>
      </c>
      <c r="Q120" s="112">
        <v>0</v>
      </c>
      <c r="R120" s="111">
        <v>0</v>
      </c>
      <c r="S120" s="112">
        <v>0</v>
      </c>
      <c r="T120" s="112">
        <v>0</v>
      </c>
      <c r="U120" s="111">
        <v>0</v>
      </c>
      <c r="V120" s="111">
        <v>0</v>
      </c>
      <c r="W120" s="110">
        <v>0</v>
      </c>
      <c r="X120" s="111">
        <v>0</v>
      </c>
      <c r="Y120" s="111">
        <f>ROUND(863690/(29*60+53),1)</f>
        <v>481.7</v>
      </c>
      <c r="Z120" s="122">
        <f>SUM(D120:Y120)-SUM(D120,E120,G120,I120,J120,K120,L120)</f>
        <v>1473.5</v>
      </c>
    </row>
    <row r="121" spans="1:26" s="33" customFormat="1" ht="11.25">
      <c r="A121" s="108" t="s">
        <v>315</v>
      </c>
      <c r="B121" s="107" t="s">
        <v>314</v>
      </c>
      <c r="C121" s="109">
        <v>1993</v>
      </c>
      <c r="D121" s="111">
        <f>ROUND(932785/(34*60+0),1)</f>
        <v>457.2</v>
      </c>
      <c r="E121" s="110">
        <v>0</v>
      </c>
      <c r="F121" s="110">
        <v>0</v>
      </c>
      <c r="G121" s="116">
        <v>0</v>
      </c>
      <c r="H121" s="116">
        <v>0</v>
      </c>
      <c r="I121" s="110">
        <v>0</v>
      </c>
      <c r="J121" s="116">
        <v>0</v>
      </c>
      <c r="K121" s="116">
        <v>0</v>
      </c>
      <c r="L121" s="111">
        <v>0</v>
      </c>
      <c r="M121" s="111">
        <v>0</v>
      </c>
      <c r="N121" s="112">
        <v>0</v>
      </c>
      <c r="O121" s="111">
        <v>0</v>
      </c>
      <c r="P121" s="111">
        <v>0</v>
      </c>
      <c r="Q121" s="103">
        <f>ROUND(552642/(17*60+22),1)</f>
        <v>530.4</v>
      </c>
      <c r="R121" s="111">
        <v>0</v>
      </c>
      <c r="S121" s="112">
        <v>0</v>
      </c>
      <c r="T121" s="112">
        <v>0</v>
      </c>
      <c r="U121" s="111">
        <v>0</v>
      </c>
      <c r="V121" s="121">
        <v>0</v>
      </c>
      <c r="W121" s="110">
        <v>0</v>
      </c>
      <c r="X121" s="111">
        <v>0</v>
      </c>
      <c r="Y121" s="111">
        <f>ROUND(863690/(33*60+2),1)</f>
        <v>435.8</v>
      </c>
      <c r="Z121" s="122">
        <f>SUM(D121:Y121)-SUM(E121,F121,G121,H121,I121,J121,K121)</f>
        <v>1423.3999999999999</v>
      </c>
    </row>
    <row r="122" spans="1:26" s="33" customFormat="1" ht="11.25">
      <c r="A122" s="108" t="s">
        <v>317</v>
      </c>
      <c r="B122" s="107" t="s">
        <v>316</v>
      </c>
      <c r="C122" s="109">
        <v>1965</v>
      </c>
      <c r="D122" s="110">
        <v>0</v>
      </c>
      <c r="E122" s="110">
        <v>0</v>
      </c>
      <c r="F122" s="111">
        <f>ROUND(1391003/(53*60+13),1)</f>
        <v>435.6</v>
      </c>
      <c r="G122" s="115">
        <f>ROUND(1802200/(67*60+18),1)</f>
        <v>446.3</v>
      </c>
      <c r="H122" s="115">
        <f>ROUND(784404/(27*60+27),1)</f>
        <v>476.3</v>
      </c>
      <c r="I122" s="110">
        <v>0</v>
      </c>
      <c r="J122" s="116">
        <v>0</v>
      </c>
      <c r="K122" s="116">
        <v>0</v>
      </c>
      <c r="L122" s="110">
        <v>0</v>
      </c>
      <c r="M122" s="116">
        <v>0</v>
      </c>
      <c r="N122" s="112">
        <v>0</v>
      </c>
      <c r="O122" s="111">
        <v>0</v>
      </c>
      <c r="P122" s="111">
        <v>0</v>
      </c>
      <c r="Q122" s="105">
        <v>0</v>
      </c>
      <c r="R122" s="111">
        <v>0</v>
      </c>
      <c r="S122" s="112">
        <v>0</v>
      </c>
      <c r="T122" s="112">
        <v>0</v>
      </c>
      <c r="U122" s="111">
        <v>0</v>
      </c>
      <c r="V122" s="111">
        <v>0</v>
      </c>
      <c r="W122" s="110">
        <v>0</v>
      </c>
      <c r="X122" s="111">
        <v>0</v>
      </c>
      <c r="Y122" s="111">
        <v>0</v>
      </c>
      <c r="Z122" s="122">
        <f>SUM(D122:Y122)-SUM(D122,E122,I122,J122,K122,L122,M122)</f>
        <v>1358.2</v>
      </c>
    </row>
    <row r="123" spans="1:26" s="33" customFormat="1" ht="11.25">
      <c r="A123" s="127" t="s">
        <v>63</v>
      </c>
      <c r="B123" s="107" t="s">
        <v>318</v>
      </c>
      <c r="C123" s="129">
        <v>1978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1">
        <v>0</v>
      </c>
      <c r="L123" s="111"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v>0</v>
      </c>
      <c r="R123" s="111">
        <f>ROUND(468940/(10*60+51),1)</f>
        <v>720.3</v>
      </c>
      <c r="S123" s="112">
        <v>0</v>
      </c>
      <c r="T123" s="115">
        <f>ROUND(1386618/(36*60+50),1)</f>
        <v>627.4</v>
      </c>
      <c r="U123" s="111">
        <v>0</v>
      </c>
      <c r="V123" s="111">
        <v>0</v>
      </c>
      <c r="W123" s="110">
        <v>0</v>
      </c>
      <c r="X123" s="111">
        <v>0</v>
      </c>
      <c r="Y123" s="111">
        <v>0</v>
      </c>
      <c r="Z123" s="122">
        <f>SUM(D123:Y123)-SUM(D123,E123,F123,G123,H123,I123,J123)</f>
        <v>1347.6999999999998</v>
      </c>
    </row>
    <row r="124" spans="1:26" s="33" customFormat="1" ht="11.25">
      <c r="A124" s="108" t="s">
        <v>320</v>
      </c>
      <c r="B124" s="107" t="s">
        <v>319</v>
      </c>
      <c r="C124" s="109">
        <v>1970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1">
        <v>0</v>
      </c>
      <c r="L124" s="111">
        <v>0</v>
      </c>
      <c r="M124" s="111">
        <v>0</v>
      </c>
      <c r="N124" s="111">
        <v>0</v>
      </c>
      <c r="O124" s="115">
        <f>ROUND(486310/(12*60+4.8),1)</f>
        <v>671</v>
      </c>
      <c r="P124" s="111">
        <v>0</v>
      </c>
      <c r="Q124" s="112">
        <v>0</v>
      </c>
      <c r="R124" s="111">
        <v>0</v>
      </c>
      <c r="S124" s="112">
        <v>0</v>
      </c>
      <c r="T124" s="112">
        <v>0</v>
      </c>
      <c r="U124" s="111">
        <v>0</v>
      </c>
      <c r="V124" s="111">
        <v>0</v>
      </c>
      <c r="W124" s="110">
        <v>0</v>
      </c>
      <c r="X124" s="111">
        <f>ROUND(526170/(13*60+18),1)</f>
        <v>659.4</v>
      </c>
      <c r="Y124" s="111">
        <v>0</v>
      </c>
      <c r="Z124" s="122">
        <f>SUM(D124:Y124)-SUM(D124,E124,F124,G124,H124,I124,J124)</f>
        <v>1330.4</v>
      </c>
    </row>
    <row r="125" spans="1:26" s="33" customFormat="1" ht="11.25">
      <c r="A125" s="108" t="s">
        <v>322</v>
      </c>
      <c r="B125" s="107" t="s">
        <v>321</v>
      </c>
      <c r="C125" s="109">
        <v>1976</v>
      </c>
      <c r="D125" s="111">
        <f>ROUND(873504/(34*60+29),1)</f>
        <v>422.2</v>
      </c>
      <c r="E125" s="110">
        <v>0</v>
      </c>
      <c r="F125" s="110">
        <v>0</v>
      </c>
      <c r="G125" s="116">
        <v>0</v>
      </c>
      <c r="H125" s="126">
        <v>0</v>
      </c>
      <c r="I125" s="115">
        <f>ROUND(1755653/(66*60+56),1)</f>
        <v>437.2</v>
      </c>
      <c r="J125" s="116">
        <v>0</v>
      </c>
      <c r="K125" s="116">
        <v>0</v>
      </c>
      <c r="L125" s="110">
        <v>0</v>
      </c>
      <c r="M125" s="117">
        <v>0</v>
      </c>
      <c r="N125" s="112">
        <v>0</v>
      </c>
      <c r="O125" s="111">
        <v>0</v>
      </c>
      <c r="P125" s="115">
        <f>ROUND(808800/(30*60+51),1)</f>
        <v>437</v>
      </c>
      <c r="Q125" s="112">
        <v>0</v>
      </c>
      <c r="R125" s="111">
        <v>0</v>
      </c>
      <c r="S125" s="112">
        <v>0</v>
      </c>
      <c r="T125" s="112">
        <v>0</v>
      </c>
      <c r="U125" s="111">
        <v>0</v>
      </c>
      <c r="V125" s="111">
        <v>0</v>
      </c>
      <c r="W125" s="110">
        <v>0</v>
      </c>
      <c r="X125" s="111">
        <v>0</v>
      </c>
      <c r="Y125" s="111">
        <v>0</v>
      </c>
      <c r="Z125" s="122">
        <f>SUM(D125:Y125)-SUM(E125,F125,G125,H125,J125,K125,L125)</f>
        <v>1296.4</v>
      </c>
    </row>
    <row r="126" spans="1:26" s="33" customFormat="1" ht="11.25">
      <c r="A126" s="108" t="s">
        <v>324</v>
      </c>
      <c r="B126" s="107" t="s">
        <v>323</v>
      </c>
      <c r="C126" s="109">
        <v>1975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1">
        <v>0</v>
      </c>
      <c r="L126" s="111">
        <f>ROUND(938208/(25*60+8),1)</f>
        <v>622.2</v>
      </c>
      <c r="M126" s="112">
        <v>0</v>
      </c>
      <c r="N126" s="112">
        <v>0</v>
      </c>
      <c r="O126" s="111">
        <v>0</v>
      </c>
      <c r="P126" s="111">
        <v>0</v>
      </c>
      <c r="Q126" s="115">
        <f>ROUND(520319/(13*60+28),1)</f>
        <v>644</v>
      </c>
      <c r="R126" s="111">
        <v>0</v>
      </c>
      <c r="S126" s="112">
        <v>0</v>
      </c>
      <c r="T126" s="112">
        <v>0</v>
      </c>
      <c r="U126" s="111">
        <v>0</v>
      </c>
      <c r="V126" s="111">
        <v>0</v>
      </c>
      <c r="W126" s="110">
        <v>0</v>
      </c>
      <c r="X126" s="111">
        <v>0</v>
      </c>
      <c r="Y126" s="111">
        <v>0</v>
      </c>
      <c r="Z126" s="122">
        <f>SUM(D126:Y126)-SUM(D126,E126,F126,G126,H126,I126,J126)</f>
        <v>1266.2</v>
      </c>
    </row>
    <row r="127" spans="1:26" s="33" customFormat="1" ht="11.25">
      <c r="A127" s="127" t="s">
        <v>326</v>
      </c>
      <c r="B127" s="107" t="s">
        <v>325</v>
      </c>
      <c r="C127" s="128">
        <v>1975</v>
      </c>
      <c r="D127" s="110">
        <v>0</v>
      </c>
      <c r="E127" s="110">
        <v>0</v>
      </c>
      <c r="F127" s="110">
        <v>0</v>
      </c>
      <c r="G127" s="115">
        <f>ROUND(1672050/(51*60+21),1)</f>
        <v>542.7</v>
      </c>
      <c r="H127" s="115">
        <f>ROUND(727920/(20*60+49),1)</f>
        <v>582.8</v>
      </c>
      <c r="I127" s="116">
        <v>0</v>
      </c>
      <c r="J127" s="116">
        <v>0</v>
      </c>
      <c r="K127" s="116">
        <v>0</v>
      </c>
      <c r="L127" s="110">
        <v>0</v>
      </c>
      <c r="M127" s="117">
        <v>0</v>
      </c>
      <c r="N127" s="112">
        <v>0</v>
      </c>
      <c r="O127" s="111">
        <v>0</v>
      </c>
      <c r="P127" s="111">
        <v>0</v>
      </c>
      <c r="Q127" s="112">
        <v>0</v>
      </c>
      <c r="R127" s="111">
        <v>0</v>
      </c>
      <c r="S127" s="112">
        <v>0</v>
      </c>
      <c r="T127" s="112">
        <v>0</v>
      </c>
      <c r="U127" s="111">
        <v>0</v>
      </c>
      <c r="V127" s="111">
        <v>0</v>
      </c>
      <c r="W127" s="110">
        <v>0</v>
      </c>
      <c r="X127" s="111">
        <v>0</v>
      </c>
      <c r="Y127" s="111">
        <v>0</v>
      </c>
      <c r="Z127" s="122">
        <f>SUM(D127:Y127)-SUM(D127,E127,F127,I127,J127,K127,L127)</f>
        <v>1125.5</v>
      </c>
    </row>
    <row r="128" spans="1:26" s="33" customFormat="1" ht="11.25">
      <c r="A128" s="108" t="s">
        <v>328</v>
      </c>
      <c r="B128" s="107" t="s">
        <v>327</v>
      </c>
      <c r="C128" s="109">
        <v>2002</v>
      </c>
      <c r="D128" s="110">
        <v>0</v>
      </c>
      <c r="E128" s="110">
        <v>0</v>
      </c>
      <c r="F128" s="110">
        <v>0</v>
      </c>
      <c r="G128" s="115">
        <f>ROUND(1618380/(59*60+25),1)</f>
        <v>454</v>
      </c>
      <c r="H128" s="116">
        <v>0</v>
      </c>
      <c r="I128" s="110">
        <v>0</v>
      </c>
      <c r="J128" s="116">
        <v>0</v>
      </c>
      <c r="K128" s="116">
        <v>0</v>
      </c>
      <c r="L128" s="111">
        <v>0</v>
      </c>
      <c r="M128" s="111">
        <v>0</v>
      </c>
      <c r="N128" s="112">
        <v>0</v>
      </c>
      <c r="O128" s="111">
        <v>0</v>
      </c>
      <c r="P128" s="111">
        <v>0</v>
      </c>
      <c r="Q128" s="112">
        <v>0</v>
      </c>
      <c r="R128" s="111">
        <f>ROUND(448960/(11*60+18),1)</f>
        <v>662.2</v>
      </c>
      <c r="S128" s="112">
        <v>0</v>
      </c>
      <c r="T128" s="112">
        <v>0</v>
      </c>
      <c r="U128" s="111">
        <v>0</v>
      </c>
      <c r="V128" s="111">
        <v>0</v>
      </c>
      <c r="W128" s="110">
        <v>0</v>
      </c>
      <c r="X128" s="111">
        <v>0</v>
      </c>
      <c r="Y128" s="111">
        <v>0</v>
      </c>
      <c r="Z128" s="122">
        <f>SUM(D128:Y128)-SUM(D128,E128,F128,H128,I128,J128,K128)</f>
        <v>1116.2</v>
      </c>
    </row>
    <row r="129" spans="1:26" s="33" customFormat="1" ht="11.25">
      <c r="A129" s="110" t="s">
        <v>330</v>
      </c>
      <c r="B129" s="107" t="s">
        <v>329</v>
      </c>
      <c r="C129" s="109">
        <v>1981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1">
        <v>0</v>
      </c>
      <c r="L129" s="111">
        <v>0</v>
      </c>
      <c r="M129" s="111">
        <v>0</v>
      </c>
      <c r="N129" s="111">
        <v>0</v>
      </c>
      <c r="O129" s="111">
        <v>0</v>
      </c>
      <c r="P129" s="111">
        <v>0</v>
      </c>
      <c r="Q129" s="111">
        <v>0</v>
      </c>
      <c r="R129" s="111">
        <v>0</v>
      </c>
      <c r="S129" s="111">
        <v>0</v>
      </c>
      <c r="T129" s="111">
        <v>0</v>
      </c>
      <c r="U129" s="111">
        <v>0</v>
      </c>
      <c r="V129" s="111">
        <v>0</v>
      </c>
      <c r="W129" s="111">
        <v>0</v>
      </c>
      <c r="X129" s="121">
        <f>ROUND(546010/(15*60+17),1)</f>
        <v>595.4</v>
      </c>
      <c r="Y129" s="121">
        <f>ROUND(871270/(28*60+14),1)</f>
        <v>514.3</v>
      </c>
      <c r="Z129" s="122">
        <f>SUM(D129:Y129)-SUM(D129,E129,F129,G129,H129,I129,J129)</f>
        <v>1109.6999999999998</v>
      </c>
    </row>
    <row r="130" spans="1:26" s="33" customFormat="1" ht="11.25">
      <c r="A130" s="130" t="s">
        <v>332</v>
      </c>
      <c r="B130" s="107" t="s">
        <v>331</v>
      </c>
      <c r="C130" s="109">
        <v>1980</v>
      </c>
      <c r="D130" s="110">
        <v>0</v>
      </c>
      <c r="E130" s="111">
        <f>ROUND(781280/(23*60+55),1)</f>
        <v>544.4</v>
      </c>
      <c r="F130" s="111">
        <f>ROUND(1246645/(38*60+7),1)</f>
        <v>545.1</v>
      </c>
      <c r="G130" s="116">
        <v>0</v>
      </c>
      <c r="H130" s="116">
        <v>0</v>
      </c>
      <c r="I130" s="110">
        <v>0</v>
      </c>
      <c r="J130" s="116">
        <v>0</v>
      </c>
      <c r="K130" s="116">
        <v>0</v>
      </c>
      <c r="L130" s="110">
        <v>0</v>
      </c>
      <c r="M130" s="117">
        <v>0</v>
      </c>
      <c r="N130" s="112">
        <v>0</v>
      </c>
      <c r="O130" s="111">
        <v>0</v>
      </c>
      <c r="P130" s="111">
        <v>0</v>
      </c>
      <c r="Q130" s="112">
        <v>0</v>
      </c>
      <c r="R130" s="111">
        <v>0</v>
      </c>
      <c r="S130" s="112">
        <v>0</v>
      </c>
      <c r="T130" s="112">
        <v>0</v>
      </c>
      <c r="U130" s="111">
        <v>0</v>
      </c>
      <c r="V130" s="112">
        <v>0</v>
      </c>
      <c r="W130" s="110">
        <v>0</v>
      </c>
      <c r="X130" s="111">
        <v>0</v>
      </c>
      <c r="Y130" s="111">
        <v>0</v>
      </c>
      <c r="Z130" s="122">
        <f>SUM(D130:Y130)-SUM(D130,G130,H130,I130,J130,K130,L130)</f>
        <v>1089.5</v>
      </c>
    </row>
    <row r="131" spans="1:26" s="33" customFormat="1" ht="11.25">
      <c r="A131" s="108" t="s">
        <v>334</v>
      </c>
      <c r="B131" s="107" t="s">
        <v>333</v>
      </c>
      <c r="C131" s="109">
        <v>1990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1">
        <f>ROUND(1699299/(53*60+22),1)</f>
        <v>530.7</v>
      </c>
      <c r="J131" s="116">
        <v>0</v>
      </c>
      <c r="K131" s="115">
        <f>ROUND(1119011/(34*60+4),1)</f>
        <v>547.5</v>
      </c>
      <c r="L131" s="110">
        <v>0</v>
      </c>
      <c r="M131" s="117">
        <v>0</v>
      </c>
      <c r="N131" s="105">
        <v>0</v>
      </c>
      <c r="O131" s="102">
        <v>0</v>
      </c>
      <c r="P131" s="102">
        <v>0</v>
      </c>
      <c r="Q131" s="112">
        <v>0</v>
      </c>
      <c r="R131" s="102">
        <v>0</v>
      </c>
      <c r="S131" s="112">
        <v>0</v>
      </c>
      <c r="T131" s="112">
        <v>0</v>
      </c>
      <c r="U131" s="111">
        <v>0</v>
      </c>
      <c r="V131" s="102">
        <v>0</v>
      </c>
      <c r="W131" s="110">
        <v>0</v>
      </c>
      <c r="X131" s="102">
        <v>0</v>
      </c>
      <c r="Y131" s="102">
        <v>0</v>
      </c>
      <c r="Z131" s="122">
        <f>SUM(D131:Y131)-SUM(D131,E131,F131,G131,H131,J131,L131)</f>
        <v>1078.2</v>
      </c>
    </row>
    <row r="132" spans="1:26" s="33" customFormat="1" ht="11.25">
      <c r="A132" s="110" t="s">
        <v>336</v>
      </c>
      <c r="B132" s="107" t="s">
        <v>335</v>
      </c>
      <c r="C132" s="109">
        <v>2001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1">
        <v>0</v>
      </c>
      <c r="L132" s="111">
        <v>0</v>
      </c>
      <c r="M132" s="111">
        <v>0</v>
      </c>
      <c r="N132" s="111">
        <v>0</v>
      </c>
      <c r="O132" s="111">
        <v>0</v>
      </c>
      <c r="P132" s="111">
        <v>0</v>
      </c>
      <c r="Q132" s="111">
        <v>0</v>
      </c>
      <c r="R132" s="111">
        <v>0</v>
      </c>
      <c r="S132" s="111">
        <v>0</v>
      </c>
      <c r="T132" s="111">
        <v>0</v>
      </c>
      <c r="U132" s="111">
        <v>0</v>
      </c>
      <c r="V132" s="111">
        <v>0</v>
      </c>
      <c r="W132" s="111">
        <v>0</v>
      </c>
      <c r="X132" s="115">
        <f>ROUND(486180/(14*60+35),1)</f>
        <v>555.6</v>
      </c>
      <c r="Y132" s="111">
        <f>ROUND(778390/(25*60+50),1)</f>
        <v>502.2</v>
      </c>
      <c r="Z132" s="122">
        <f aca="true" t="shared" si="0" ref="Z132:Z137">SUM(D132:Y132)-SUM(D132,E132,F132,G132,H132,I132,J132)</f>
        <v>1057.8</v>
      </c>
    </row>
    <row r="133" spans="1:26" s="33" customFormat="1" ht="11.25">
      <c r="A133" s="108" t="s">
        <v>338</v>
      </c>
      <c r="B133" s="107" t="s">
        <v>337</v>
      </c>
      <c r="C133" s="109">
        <v>1978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1">
        <v>0</v>
      </c>
      <c r="L133" s="111">
        <v>0</v>
      </c>
      <c r="M133" s="111">
        <v>0</v>
      </c>
      <c r="N133" s="111">
        <v>0</v>
      </c>
      <c r="O133" s="111">
        <v>0</v>
      </c>
      <c r="P133" s="111">
        <v>0</v>
      </c>
      <c r="Q133" s="111">
        <v>0</v>
      </c>
      <c r="R133" s="111">
        <v>0</v>
      </c>
      <c r="S133" s="111">
        <v>0</v>
      </c>
      <c r="T133" s="115">
        <f>ROUND(1386618/(48*60+27),1)</f>
        <v>477</v>
      </c>
      <c r="U133" s="111">
        <f>ROUND(1323740/(38*60+16),1)</f>
        <v>576.5</v>
      </c>
      <c r="V133" s="111">
        <v>0</v>
      </c>
      <c r="W133" s="110">
        <v>0</v>
      </c>
      <c r="X133" s="111">
        <v>0</v>
      </c>
      <c r="Y133" s="111">
        <v>0</v>
      </c>
      <c r="Z133" s="122">
        <f t="shared" si="0"/>
        <v>1053.5</v>
      </c>
    </row>
    <row r="134" spans="1:26" s="33" customFormat="1" ht="11.25">
      <c r="A134" s="108" t="s">
        <v>340</v>
      </c>
      <c r="B134" s="107" t="s">
        <v>339</v>
      </c>
      <c r="C134" s="109">
        <v>1958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1">
        <v>0</v>
      </c>
      <c r="L134" s="111">
        <v>0</v>
      </c>
      <c r="M134" s="111">
        <v>0</v>
      </c>
      <c r="N134" s="111">
        <v>0</v>
      </c>
      <c r="O134" s="111">
        <v>0</v>
      </c>
      <c r="P134" s="111">
        <f>ROUND(1037590/(34*60+1),1)</f>
        <v>508.4</v>
      </c>
      <c r="Q134" s="112">
        <v>0</v>
      </c>
      <c r="R134" s="111">
        <v>0</v>
      </c>
      <c r="S134" s="112">
        <v>0</v>
      </c>
      <c r="T134" s="112">
        <v>0</v>
      </c>
      <c r="U134" s="112">
        <v>0</v>
      </c>
      <c r="V134" s="111">
        <v>0</v>
      </c>
      <c r="W134" s="110">
        <v>0</v>
      </c>
      <c r="X134" s="111">
        <f>ROUND(650780/(20*60+57),1)</f>
        <v>517.7</v>
      </c>
      <c r="Y134" s="111">
        <v>0</v>
      </c>
      <c r="Z134" s="122">
        <f t="shared" si="0"/>
        <v>1026.1</v>
      </c>
    </row>
    <row r="135" spans="1:26" s="33" customFormat="1" ht="11.25">
      <c r="A135" s="110" t="s">
        <v>342</v>
      </c>
      <c r="B135" s="107" t="s">
        <v>341</v>
      </c>
      <c r="C135" s="109">
        <v>1958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1">
        <v>0</v>
      </c>
      <c r="L135" s="111">
        <v>0</v>
      </c>
      <c r="M135" s="111">
        <v>0</v>
      </c>
      <c r="N135" s="111">
        <v>0</v>
      </c>
      <c r="O135" s="111">
        <v>0</v>
      </c>
      <c r="P135" s="111">
        <f>ROUND(950070/(31*60+22),1)</f>
        <v>504.8</v>
      </c>
      <c r="Q135" s="112">
        <v>0</v>
      </c>
      <c r="R135" s="111">
        <v>0</v>
      </c>
      <c r="S135" s="112">
        <v>0</v>
      </c>
      <c r="T135" s="112">
        <v>0</v>
      </c>
      <c r="U135" s="112">
        <v>0</v>
      </c>
      <c r="V135" s="111">
        <v>0</v>
      </c>
      <c r="W135" s="110">
        <v>0</v>
      </c>
      <c r="X135" s="111">
        <f>ROUND(596170/(19*60+5),1)</f>
        <v>520.7</v>
      </c>
      <c r="Y135" s="111">
        <v>0</v>
      </c>
      <c r="Z135" s="122">
        <f t="shared" si="0"/>
        <v>1025.5</v>
      </c>
    </row>
    <row r="136" spans="1:26" s="33" customFormat="1" ht="11.25">
      <c r="A136" s="110" t="s">
        <v>344</v>
      </c>
      <c r="B136" s="107" t="s">
        <v>343</v>
      </c>
      <c r="C136" s="109">
        <v>1984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1">
        <v>0</v>
      </c>
      <c r="L136" s="111">
        <v>0</v>
      </c>
      <c r="M136" s="111">
        <v>0</v>
      </c>
      <c r="N136" s="111">
        <v>0</v>
      </c>
      <c r="O136" s="111">
        <v>0</v>
      </c>
      <c r="P136" s="111">
        <v>0</v>
      </c>
      <c r="Q136" s="111">
        <v>0</v>
      </c>
      <c r="R136" s="111">
        <v>0</v>
      </c>
      <c r="S136" s="111">
        <v>0</v>
      </c>
      <c r="T136" s="111">
        <v>0</v>
      </c>
      <c r="U136" s="111">
        <v>0</v>
      </c>
      <c r="V136" s="111">
        <v>0</v>
      </c>
      <c r="W136" s="111">
        <v>0</v>
      </c>
      <c r="X136" s="111">
        <f>ROUND(474040/(14*60+41),1)</f>
        <v>538.1</v>
      </c>
      <c r="Y136" s="111">
        <f>ROUND(755720/(26*60+16),1)</f>
        <v>479.5</v>
      </c>
      <c r="Z136" s="122">
        <f t="shared" si="0"/>
        <v>1017.6</v>
      </c>
    </row>
    <row r="137" spans="1:26" s="33" customFormat="1" ht="11.25">
      <c r="A137" s="110" t="s">
        <v>346</v>
      </c>
      <c r="B137" s="107" t="s">
        <v>345</v>
      </c>
      <c r="C137" s="109">
        <v>1977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1">
        <v>0</v>
      </c>
      <c r="L137" s="111">
        <v>0</v>
      </c>
      <c r="M137" s="111">
        <v>0</v>
      </c>
      <c r="N137" s="111">
        <v>0</v>
      </c>
      <c r="O137" s="111">
        <v>0</v>
      </c>
      <c r="P137" s="111">
        <v>0</v>
      </c>
      <c r="Q137" s="111">
        <v>0</v>
      </c>
      <c r="R137" s="111">
        <v>0</v>
      </c>
      <c r="S137" s="111">
        <v>0</v>
      </c>
      <c r="T137" s="111">
        <v>0</v>
      </c>
      <c r="U137" s="111">
        <v>0</v>
      </c>
      <c r="V137" s="111">
        <v>0</v>
      </c>
      <c r="W137" s="110">
        <v>0</v>
      </c>
      <c r="X137" s="111">
        <f>ROUND(507390/(15*60+13),1)</f>
        <v>555.7</v>
      </c>
      <c r="Y137" s="111">
        <f>ROUND(808800/(29*60+53),1)</f>
        <v>451.1</v>
      </c>
      <c r="Z137" s="122">
        <f t="shared" si="0"/>
        <v>1006.8000000000001</v>
      </c>
    </row>
    <row r="138" spans="1:26" s="33" customFormat="1" ht="11.25">
      <c r="A138" s="108" t="s">
        <v>348</v>
      </c>
      <c r="B138" s="107" t="s">
        <v>347</v>
      </c>
      <c r="C138" s="109">
        <v>2003</v>
      </c>
      <c r="D138" s="110">
        <v>0</v>
      </c>
      <c r="E138" s="110">
        <v>0</v>
      </c>
      <c r="F138" s="111">
        <f>ROUND(1383525/(43*60+24),1)</f>
        <v>531.3</v>
      </c>
      <c r="G138" s="116">
        <v>0</v>
      </c>
      <c r="H138" s="115">
        <f>ROUND(777321/(28*60+6),1)</f>
        <v>461</v>
      </c>
      <c r="I138" s="110">
        <v>0</v>
      </c>
      <c r="J138" s="116">
        <v>0</v>
      </c>
      <c r="K138" s="116">
        <v>0</v>
      </c>
      <c r="L138" s="110">
        <v>0</v>
      </c>
      <c r="M138" s="117">
        <v>0</v>
      </c>
      <c r="N138" s="112">
        <v>0</v>
      </c>
      <c r="O138" s="111">
        <v>0</v>
      </c>
      <c r="P138" s="111">
        <v>0</v>
      </c>
      <c r="Q138" s="112">
        <v>0</v>
      </c>
      <c r="R138" s="111">
        <v>0</v>
      </c>
      <c r="S138" s="112">
        <v>0</v>
      </c>
      <c r="T138" s="112">
        <v>0</v>
      </c>
      <c r="U138" s="111">
        <v>0</v>
      </c>
      <c r="V138" s="111">
        <v>0</v>
      </c>
      <c r="W138" s="110">
        <v>0</v>
      </c>
      <c r="X138" s="111">
        <v>0</v>
      </c>
      <c r="Y138" s="111">
        <v>0</v>
      </c>
      <c r="Z138" s="122">
        <f>SUM(D138:Y138)-SUM(D138,E138,G138,I138,J138,K138,L138)</f>
        <v>992.3</v>
      </c>
    </row>
    <row r="139" spans="1:26" s="33" customFormat="1" ht="11.25">
      <c r="A139" s="110" t="s">
        <v>350</v>
      </c>
      <c r="B139" s="107" t="s">
        <v>349</v>
      </c>
      <c r="C139" s="109">
        <v>1986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1">
        <v>0</v>
      </c>
      <c r="L139" s="111">
        <v>0</v>
      </c>
      <c r="M139" s="111">
        <v>0</v>
      </c>
      <c r="N139" s="111">
        <v>0</v>
      </c>
      <c r="O139" s="111">
        <v>0</v>
      </c>
      <c r="P139" s="111">
        <v>0</v>
      </c>
      <c r="Q139" s="111">
        <v>0</v>
      </c>
      <c r="R139" s="111">
        <v>0</v>
      </c>
      <c r="S139" s="111">
        <v>0</v>
      </c>
      <c r="T139" s="111">
        <v>0</v>
      </c>
      <c r="U139" s="111">
        <v>0</v>
      </c>
      <c r="V139" s="111">
        <v>0</v>
      </c>
      <c r="W139" s="111">
        <v>0</v>
      </c>
      <c r="X139" s="111">
        <f>ROUND(474040/(15*60+5),1)</f>
        <v>523.8</v>
      </c>
      <c r="Y139" s="111">
        <f>ROUND(755720/(28*60+27),1)</f>
        <v>442.7</v>
      </c>
      <c r="Z139" s="122">
        <f>SUM(D139:Y139)-SUM(D139,E139,F139,G139,H139,I139,J139)</f>
        <v>966.5</v>
      </c>
    </row>
    <row r="140" spans="1:26" s="33" customFormat="1" ht="11.25">
      <c r="A140" s="108" t="s">
        <v>352</v>
      </c>
      <c r="B140" s="107" t="s">
        <v>351</v>
      </c>
      <c r="C140" s="109">
        <v>1962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1">
        <v>0</v>
      </c>
      <c r="L140" s="111">
        <v>0</v>
      </c>
      <c r="M140" s="111">
        <v>0</v>
      </c>
      <c r="N140" s="111">
        <v>0</v>
      </c>
      <c r="O140" s="111">
        <v>0</v>
      </c>
      <c r="P140" s="111">
        <v>0</v>
      </c>
      <c r="Q140" s="111">
        <v>0</v>
      </c>
      <c r="R140" s="111">
        <v>0</v>
      </c>
      <c r="S140" s="111">
        <v>0</v>
      </c>
      <c r="T140" s="111">
        <v>0</v>
      </c>
      <c r="U140" s="115">
        <f>ROUND(1486890/(48*60+24),1)</f>
        <v>512</v>
      </c>
      <c r="V140" s="115">
        <f>ROUND(3894460/(145*60+52),1)</f>
        <v>445</v>
      </c>
      <c r="W140" s="110">
        <v>0</v>
      </c>
      <c r="X140" s="111">
        <v>0</v>
      </c>
      <c r="Y140" s="111">
        <v>0</v>
      </c>
      <c r="Z140" s="122">
        <f>SUM(D140:Y140)-SUM(D140,E140,F140,G140,H140,I140,J140)</f>
        <v>957</v>
      </c>
    </row>
    <row r="141" spans="1:26" s="33" customFormat="1" ht="11.25">
      <c r="A141" s="110" t="s">
        <v>354</v>
      </c>
      <c r="B141" s="107" t="s">
        <v>353</v>
      </c>
      <c r="C141" s="109">
        <v>1951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23">
        <f>ROUND(1890244/(69*60+33),1)</f>
        <v>453</v>
      </c>
      <c r="K141" s="116">
        <v>0</v>
      </c>
      <c r="L141" s="111">
        <v>0</v>
      </c>
      <c r="M141" s="112">
        <v>0</v>
      </c>
      <c r="N141" s="112">
        <v>0</v>
      </c>
      <c r="O141" s="111">
        <v>0</v>
      </c>
      <c r="P141" s="111">
        <v>0</v>
      </c>
      <c r="Q141" s="112">
        <v>0</v>
      </c>
      <c r="R141" s="111">
        <v>0</v>
      </c>
      <c r="S141" s="112">
        <v>0</v>
      </c>
      <c r="T141" s="112">
        <v>0</v>
      </c>
      <c r="U141" s="111">
        <v>0</v>
      </c>
      <c r="V141" s="111">
        <v>0</v>
      </c>
      <c r="W141" s="110">
        <v>0</v>
      </c>
      <c r="X141" s="112">
        <v>0</v>
      </c>
      <c r="Y141" s="111">
        <f>ROUND(998700/(33*60+15),1)</f>
        <v>500.6</v>
      </c>
      <c r="Z141" s="122">
        <f>SUM(D141:Y141)-SUM(D141,E141,F141,G141,H141,I141,K141)</f>
        <v>953.6</v>
      </c>
    </row>
    <row r="142" spans="1:26" s="33" customFormat="1" ht="11.25">
      <c r="A142" s="108" t="s">
        <v>356</v>
      </c>
      <c r="B142" s="107" t="s">
        <v>355</v>
      </c>
      <c r="C142" s="109">
        <v>1982</v>
      </c>
      <c r="D142" s="110">
        <v>0</v>
      </c>
      <c r="E142" s="110">
        <v>0</v>
      </c>
      <c r="F142" s="110">
        <v>0</v>
      </c>
      <c r="G142" s="110">
        <v>0</v>
      </c>
      <c r="H142" s="123">
        <f>ROUND(784143/(27*60+58),1)</f>
        <v>467.3</v>
      </c>
      <c r="I142" s="121">
        <f>ROUND(1889664/(65*60+31),1)</f>
        <v>480.7</v>
      </c>
      <c r="J142" s="116">
        <v>0</v>
      </c>
      <c r="K142" s="116">
        <v>0</v>
      </c>
      <c r="L142" s="110">
        <v>0</v>
      </c>
      <c r="M142" s="117">
        <v>0</v>
      </c>
      <c r="N142" s="117">
        <v>0</v>
      </c>
      <c r="O142" s="121">
        <v>0</v>
      </c>
      <c r="P142" s="121">
        <v>0</v>
      </c>
      <c r="Q142" s="117">
        <v>0</v>
      </c>
      <c r="R142" s="121">
        <v>0</v>
      </c>
      <c r="S142" s="112">
        <v>0</v>
      </c>
      <c r="T142" s="112">
        <v>0</v>
      </c>
      <c r="U142" s="111">
        <v>0</v>
      </c>
      <c r="V142" s="111">
        <v>0</v>
      </c>
      <c r="W142" s="110">
        <v>0</v>
      </c>
      <c r="X142" s="121">
        <v>0</v>
      </c>
      <c r="Y142" s="121">
        <v>0</v>
      </c>
      <c r="Z142" s="122">
        <f>SUM(D142:Y142)-SUM(D142,E142,F142,G142,J142,K142,L142)</f>
        <v>948</v>
      </c>
    </row>
    <row r="143" spans="1:26" s="33" customFormat="1" ht="11.25">
      <c r="A143" s="120" t="s">
        <v>358</v>
      </c>
      <c r="B143" s="107" t="s">
        <v>357</v>
      </c>
      <c r="C143" s="109">
        <v>1977</v>
      </c>
      <c r="D143" s="110">
        <v>0</v>
      </c>
      <c r="E143" s="121">
        <f>ROUND(906760/(34*60+37),1)</f>
        <v>436.6</v>
      </c>
      <c r="F143" s="110">
        <v>0</v>
      </c>
      <c r="G143" s="116">
        <v>0</v>
      </c>
      <c r="H143" s="123">
        <f>ROUND(816084/(29*60+42),1)</f>
        <v>458</v>
      </c>
      <c r="I143" s="116">
        <v>0</v>
      </c>
      <c r="J143" s="116">
        <v>0</v>
      </c>
      <c r="K143" s="116">
        <v>0</v>
      </c>
      <c r="L143" s="110">
        <v>0</v>
      </c>
      <c r="M143" s="117">
        <v>0</v>
      </c>
      <c r="N143" s="112">
        <v>0</v>
      </c>
      <c r="O143" s="111">
        <v>0</v>
      </c>
      <c r="P143" s="121">
        <v>0</v>
      </c>
      <c r="Q143" s="112">
        <v>0</v>
      </c>
      <c r="R143" s="111">
        <v>0</v>
      </c>
      <c r="S143" s="112">
        <v>0</v>
      </c>
      <c r="T143" s="112">
        <v>0</v>
      </c>
      <c r="U143" s="111">
        <v>0</v>
      </c>
      <c r="V143" s="111">
        <v>0</v>
      </c>
      <c r="W143" s="110">
        <v>0</v>
      </c>
      <c r="X143" s="111">
        <v>0</v>
      </c>
      <c r="Y143" s="121">
        <v>0</v>
      </c>
      <c r="Z143" s="122">
        <f>SUM(D143:Y143)-SUM(D143,F143,G143,I143,J143,K143,L143)</f>
        <v>894.6</v>
      </c>
    </row>
    <row r="144" spans="1:26" s="33" customFormat="1" ht="11.25">
      <c r="A144" s="110" t="s">
        <v>360</v>
      </c>
      <c r="B144" s="107" t="s">
        <v>359</v>
      </c>
      <c r="C144" s="109">
        <v>1984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1">
        <v>0</v>
      </c>
      <c r="S144" s="111">
        <v>0</v>
      </c>
      <c r="T144" s="111">
        <v>0</v>
      </c>
      <c r="U144" s="111">
        <v>0</v>
      </c>
      <c r="V144" s="111">
        <v>0</v>
      </c>
      <c r="W144" s="111">
        <v>0</v>
      </c>
      <c r="X144" s="111">
        <f>ROUND(525460/(18*60+30),1)</f>
        <v>473.4</v>
      </c>
      <c r="Y144" s="111">
        <f>ROUND(838620/(33*60+11),1)</f>
        <v>421.2</v>
      </c>
      <c r="Z144" s="122">
        <f>SUM(D144:Y144)-SUM(D144,E144,F144,G144,H144,I144,J144)</f>
        <v>894.5999999999999</v>
      </c>
    </row>
    <row r="145" spans="1:26" s="33" customFormat="1" ht="11.25">
      <c r="A145" s="110" t="s">
        <v>362</v>
      </c>
      <c r="B145" s="107" t="s">
        <v>361</v>
      </c>
      <c r="C145" s="109">
        <v>1986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111">
        <v>0</v>
      </c>
      <c r="Q145" s="111">
        <v>0</v>
      </c>
      <c r="R145" s="111">
        <v>0</v>
      </c>
      <c r="S145" s="111">
        <v>0</v>
      </c>
      <c r="T145" s="111">
        <v>0</v>
      </c>
      <c r="U145" s="111">
        <v>0</v>
      </c>
      <c r="V145" s="111">
        <v>0</v>
      </c>
      <c r="W145" s="111">
        <v>0</v>
      </c>
      <c r="X145" s="111">
        <f>ROUND(474040/(19*60+6),1)</f>
        <v>413.6</v>
      </c>
      <c r="Y145" s="111">
        <f>ROUND(755720/(32*60+45),1)</f>
        <v>384.6</v>
      </c>
      <c r="Z145" s="122">
        <f>SUM(D145:Y145)-SUM(D145,E145,F145,G145,H145,I145,J145)</f>
        <v>798.2</v>
      </c>
    </row>
    <row r="146" spans="1:26" s="33" customFormat="1" ht="11.25">
      <c r="A146" s="108" t="s">
        <v>364</v>
      </c>
      <c r="B146" s="107" t="s">
        <v>363</v>
      </c>
      <c r="C146" s="109">
        <v>1965</v>
      </c>
      <c r="D146" s="110">
        <v>0</v>
      </c>
      <c r="E146" s="110">
        <v>0</v>
      </c>
      <c r="F146" s="110">
        <v>0</v>
      </c>
      <c r="G146" s="110">
        <v>0</v>
      </c>
      <c r="H146" s="115">
        <f>ROUND(784404/(19*60+38),1)</f>
        <v>665.9</v>
      </c>
      <c r="I146" s="110">
        <v>0</v>
      </c>
      <c r="J146" s="116">
        <v>0</v>
      </c>
      <c r="K146" s="116">
        <v>0</v>
      </c>
      <c r="L146" s="121">
        <v>0</v>
      </c>
      <c r="M146" s="112">
        <v>0</v>
      </c>
      <c r="N146" s="112">
        <v>0</v>
      </c>
      <c r="O146" s="111">
        <v>0</v>
      </c>
      <c r="P146" s="111">
        <v>0</v>
      </c>
      <c r="Q146" s="112">
        <v>0</v>
      </c>
      <c r="R146" s="111">
        <v>0</v>
      </c>
      <c r="S146" s="112">
        <v>0</v>
      </c>
      <c r="T146" s="112">
        <v>0</v>
      </c>
      <c r="U146" s="111">
        <v>0</v>
      </c>
      <c r="V146" s="111">
        <v>0</v>
      </c>
      <c r="W146" s="110">
        <v>0</v>
      </c>
      <c r="X146" s="111">
        <v>0</v>
      </c>
      <c r="Y146" s="111">
        <v>0</v>
      </c>
      <c r="Z146" s="122">
        <f>SUM(D146:Y146)-SUM(D146,E146,F146,G146,I146,J146,K146)</f>
        <v>665.9</v>
      </c>
    </row>
    <row r="147" spans="1:26" s="33" customFormat="1" ht="11.25">
      <c r="A147" s="127" t="s">
        <v>366</v>
      </c>
      <c r="B147" s="107" t="s">
        <v>365</v>
      </c>
      <c r="C147" s="129">
        <v>2001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1">
        <v>0</v>
      </c>
      <c r="L147" s="111"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v>0</v>
      </c>
      <c r="R147" s="111">
        <f>ROUND(498000/(12*60+34),1)</f>
        <v>660.5</v>
      </c>
      <c r="S147" s="112">
        <v>0</v>
      </c>
      <c r="T147" s="112">
        <v>0</v>
      </c>
      <c r="U147" s="111">
        <v>0</v>
      </c>
      <c r="V147" s="111">
        <v>0</v>
      </c>
      <c r="W147" s="110">
        <v>0</v>
      </c>
      <c r="X147" s="111">
        <v>0</v>
      </c>
      <c r="Y147" s="111">
        <v>0</v>
      </c>
      <c r="Z147" s="122">
        <f aca="true" t="shared" si="1" ref="Z147:Z153">SUM(D147:Y147)-SUM(D147,E147,F147,G147,H147,I147,J147)</f>
        <v>660.5</v>
      </c>
    </row>
    <row r="148" spans="1:26" s="33" customFormat="1" ht="11.25">
      <c r="A148" s="108" t="s">
        <v>368</v>
      </c>
      <c r="B148" s="107" t="s">
        <v>367</v>
      </c>
      <c r="C148" s="109">
        <v>1970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1">
        <v>0</v>
      </c>
      <c r="L148" s="111">
        <v>0</v>
      </c>
      <c r="M148" s="115">
        <f>ROUND(1132535/(28*60+54),1)</f>
        <v>653.1</v>
      </c>
      <c r="N148" s="112">
        <v>0</v>
      </c>
      <c r="O148" s="111">
        <v>0</v>
      </c>
      <c r="P148" s="111">
        <v>0</v>
      </c>
      <c r="Q148" s="112">
        <v>0</v>
      </c>
      <c r="R148" s="111">
        <v>0</v>
      </c>
      <c r="S148" s="112">
        <v>0</v>
      </c>
      <c r="T148" s="112">
        <v>0</v>
      </c>
      <c r="U148" s="111">
        <v>0</v>
      </c>
      <c r="V148" s="111">
        <v>0</v>
      </c>
      <c r="W148" s="110">
        <v>0</v>
      </c>
      <c r="X148" s="111">
        <v>0</v>
      </c>
      <c r="Y148" s="111">
        <v>0</v>
      </c>
      <c r="Z148" s="122">
        <f t="shared" si="1"/>
        <v>653.1</v>
      </c>
    </row>
    <row r="149" spans="1:26" s="33" customFormat="1" ht="11.25">
      <c r="A149" s="110" t="s">
        <v>370</v>
      </c>
      <c r="B149" s="107" t="s">
        <v>369</v>
      </c>
      <c r="C149" s="109">
        <v>1967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1">
        <v>0</v>
      </c>
      <c r="L149" s="111">
        <v>0</v>
      </c>
      <c r="M149" s="111">
        <v>0</v>
      </c>
      <c r="N149" s="111">
        <v>0</v>
      </c>
      <c r="O149" s="111">
        <v>0</v>
      </c>
      <c r="P149" s="111">
        <v>0</v>
      </c>
      <c r="Q149" s="111">
        <v>0</v>
      </c>
      <c r="R149" s="111">
        <v>0</v>
      </c>
      <c r="S149" s="111">
        <v>0</v>
      </c>
      <c r="T149" s="111">
        <v>0</v>
      </c>
      <c r="U149" s="111">
        <v>0</v>
      </c>
      <c r="V149" s="111">
        <v>0</v>
      </c>
      <c r="W149" s="110">
        <v>0</v>
      </c>
      <c r="X149" s="111">
        <f>ROUND(546820/(14*60+13),1)</f>
        <v>641.1</v>
      </c>
      <c r="Y149" s="111">
        <v>0</v>
      </c>
      <c r="Z149" s="122">
        <f t="shared" si="1"/>
        <v>641.1</v>
      </c>
    </row>
    <row r="150" spans="1:26" s="33" customFormat="1" ht="11.25">
      <c r="A150" s="110" t="s">
        <v>372</v>
      </c>
      <c r="B150" s="107" t="s">
        <v>371</v>
      </c>
      <c r="C150" s="109">
        <v>1985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1">
        <v>0</v>
      </c>
      <c r="L150" s="111">
        <v>0</v>
      </c>
      <c r="M150" s="111">
        <v>0</v>
      </c>
      <c r="N150" s="111">
        <v>0</v>
      </c>
      <c r="O150" s="111">
        <v>0</v>
      </c>
      <c r="P150" s="111">
        <v>0</v>
      </c>
      <c r="Q150" s="111">
        <v>0</v>
      </c>
      <c r="R150" s="111">
        <v>0</v>
      </c>
      <c r="S150" s="111">
        <v>0</v>
      </c>
      <c r="T150" s="111">
        <v>0</v>
      </c>
      <c r="U150" s="111">
        <v>0</v>
      </c>
      <c r="V150" s="111">
        <v>0</v>
      </c>
      <c r="W150" s="110">
        <v>0</v>
      </c>
      <c r="X150" s="111">
        <f>ROUND(474040/(12*60+28),1)</f>
        <v>633.7</v>
      </c>
      <c r="Y150" s="111">
        <v>0</v>
      </c>
      <c r="Z150" s="122">
        <f t="shared" si="1"/>
        <v>633.7</v>
      </c>
    </row>
    <row r="151" spans="1:26" s="33" customFormat="1" ht="11.25">
      <c r="A151" s="110" t="s">
        <v>374</v>
      </c>
      <c r="B151" s="107" t="s">
        <v>373</v>
      </c>
      <c r="C151" s="109">
        <v>1995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v>0</v>
      </c>
      <c r="P151" s="111">
        <v>0</v>
      </c>
      <c r="Q151" s="111">
        <v>0</v>
      </c>
      <c r="R151" s="111">
        <v>0</v>
      </c>
      <c r="S151" s="111">
        <v>0</v>
      </c>
      <c r="T151" s="111">
        <v>0</v>
      </c>
      <c r="U151" s="111">
        <v>0</v>
      </c>
      <c r="V151" s="111">
        <v>0</v>
      </c>
      <c r="W151" s="110">
        <v>0</v>
      </c>
      <c r="X151" s="111">
        <f>ROUND(486180/(13*60+6),1)</f>
        <v>618.5</v>
      </c>
      <c r="Y151" s="111">
        <v>0</v>
      </c>
      <c r="Z151" s="122">
        <f t="shared" si="1"/>
        <v>618.5</v>
      </c>
    </row>
    <row r="152" spans="1:26" s="33" customFormat="1" ht="11.25">
      <c r="A152" s="108" t="s">
        <v>376</v>
      </c>
      <c r="B152" s="107" t="s">
        <v>375</v>
      </c>
      <c r="C152" s="109">
        <v>1999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1">
        <v>0</v>
      </c>
      <c r="L152" s="111">
        <v>0</v>
      </c>
      <c r="M152" s="111">
        <v>0</v>
      </c>
      <c r="N152" s="111">
        <v>0</v>
      </c>
      <c r="O152" s="111">
        <v>0</v>
      </c>
      <c r="P152" s="115">
        <f>ROUND(863690/(23*60+50),1)</f>
        <v>604</v>
      </c>
      <c r="Q152" s="112">
        <v>0</v>
      </c>
      <c r="R152" s="111">
        <v>0</v>
      </c>
      <c r="S152" s="112">
        <v>0</v>
      </c>
      <c r="T152" s="112">
        <v>0</v>
      </c>
      <c r="U152" s="111">
        <v>0</v>
      </c>
      <c r="V152" s="111">
        <v>0</v>
      </c>
      <c r="W152" s="110">
        <v>0</v>
      </c>
      <c r="X152" s="111">
        <v>0</v>
      </c>
      <c r="Y152" s="111">
        <v>0</v>
      </c>
      <c r="Z152" s="122">
        <f t="shared" si="1"/>
        <v>604</v>
      </c>
    </row>
    <row r="153" spans="1:26" s="33" customFormat="1" ht="11.25">
      <c r="A153" s="127" t="s">
        <v>378</v>
      </c>
      <c r="B153" s="107" t="s">
        <v>377</v>
      </c>
      <c r="C153" s="128">
        <v>2002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1">
        <v>0</v>
      </c>
      <c r="L153" s="111">
        <v>0</v>
      </c>
      <c r="M153" s="111">
        <v>0</v>
      </c>
      <c r="N153" s="111">
        <v>0</v>
      </c>
      <c r="O153" s="111">
        <v>0</v>
      </c>
      <c r="P153" s="111">
        <v>0</v>
      </c>
      <c r="Q153" s="115">
        <f>ROUND(498569/(13*60+47),1)</f>
        <v>602.9</v>
      </c>
      <c r="R153" s="111">
        <v>0</v>
      </c>
      <c r="S153" s="112">
        <v>0</v>
      </c>
      <c r="T153" s="112">
        <v>0</v>
      </c>
      <c r="U153" s="111">
        <v>0</v>
      </c>
      <c r="V153" s="112">
        <v>0</v>
      </c>
      <c r="W153" s="110">
        <v>0</v>
      </c>
      <c r="X153" s="111">
        <v>0</v>
      </c>
      <c r="Y153" s="111">
        <v>0</v>
      </c>
      <c r="Z153" s="122">
        <f t="shared" si="1"/>
        <v>602.9</v>
      </c>
    </row>
    <row r="154" spans="1:26" s="33" customFormat="1" ht="11.25">
      <c r="A154" s="108" t="s">
        <v>380</v>
      </c>
      <c r="B154" s="107" t="s">
        <v>379</v>
      </c>
      <c r="C154" s="128">
        <v>1982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23">
        <f>ROUND(1477716/(41*60+27),1)</f>
        <v>594.2</v>
      </c>
      <c r="K154" s="116">
        <v>0</v>
      </c>
      <c r="L154" s="121">
        <v>0</v>
      </c>
      <c r="M154" s="112">
        <v>0</v>
      </c>
      <c r="N154" s="112">
        <v>0</v>
      </c>
      <c r="O154" s="111">
        <v>0</v>
      </c>
      <c r="P154" s="111">
        <v>0</v>
      </c>
      <c r="Q154" s="112">
        <v>0</v>
      </c>
      <c r="R154" s="111">
        <v>0</v>
      </c>
      <c r="S154" s="112">
        <v>0</v>
      </c>
      <c r="T154" s="112">
        <v>0</v>
      </c>
      <c r="U154" s="111">
        <v>0</v>
      </c>
      <c r="V154" s="111">
        <v>0</v>
      </c>
      <c r="W154" s="110">
        <v>0</v>
      </c>
      <c r="X154" s="111">
        <v>0</v>
      </c>
      <c r="Y154" s="111">
        <v>0</v>
      </c>
      <c r="Z154" s="122">
        <f>SUM(D154:Y154)-SUM(D154,E154,F154,G154,H154,I154,K154)</f>
        <v>594.2</v>
      </c>
    </row>
    <row r="155" spans="1:26" s="33" customFormat="1" ht="11.25">
      <c r="A155" s="108" t="s">
        <v>382</v>
      </c>
      <c r="B155" s="107" t="s">
        <v>381</v>
      </c>
      <c r="C155" s="109">
        <v>1969</v>
      </c>
      <c r="D155" s="110">
        <v>0</v>
      </c>
      <c r="E155" s="110">
        <v>0</v>
      </c>
      <c r="F155" s="110">
        <v>0</v>
      </c>
      <c r="G155" s="110">
        <v>0</v>
      </c>
      <c r="H155" s="115">
        <f>ROUND(754821/(21*60+15),1)</f>
        <v>592</v>
      </c>
      <c r="I155" s="110">
        <v>0</v>
      </c>
      <c r="J155" s="116">
        <v>0</v>
      </c>
      <c r="K155" s="116">
        <v>0</v>
      </c>
      <c r="L155" s="121">
        <v>0</v>
      </c>
      <c r="M155" s="112">
        <v>0</v>
      </c>
      <c r="N155" s="112">
        <v>0</v>
      </c>
      <c r="O155" s="111">
        <v>0</v>
      </c>
      <c r="P155" s="111">
        <v>0</v>
      </c>
      <c r="Q155" s="112">
        <v>0</v>
      </c>
      <c r="R155" s="111">
        <v>0</v>
      </c>
      <c r="S155" s="112">
        <v>0</v>
      </c>
      <c r="T155" s="112">
        <v>0</v>
      </c>
      <c r="U155" s="111">
        <v>0</v>
      </c>
      <c r="V155" s="111">
        <v>0</v>
      </c>
      <c r="W155" s="110">
        <v>0</v>
      </c>
      <c r="X155" s="111">
        <v>0</v>
      </c>
      <c r="Y155" s="111">
        <v>0</v>
      </c>
      <c r="Z155" s="122">
        <f>SUM(D155:Y155)-SUM(D155,E155,F155,G155,I155,J155,K155)</f>
        <v>592</v>
      </c>
    </row>
    <row r="156" spans="1:26" s="33" customFormat="1" ht="11.25">
      <c r="A156" s="110" t="s">
        <v>384</v>
      </c>
      <c r="B156" s="107" t="s">
        <v>383</v>
      </c>
      <c r="C156" s="109">
        <v>1986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1">
        <v>0</v>
      </c>
      <c r="L156" s="111"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f>ROUND(755720/(21*60+28),1)</f>
        <v>586.7</v>
      </c>
      <c r="Z156" s="122">
        <f>SUM(D156:Y156)-SUM(D156,E156,F156,G156,H156,I156,J156)</f>
        <v>586.7</v>
      </c>
    </row>
    <row r="157" spans="1:26" s="33" customFormat="1" ht="11.25">
      <c r="A157" s="110" t="s">
        <v>386</v>
      </c>
      <c r="B157" s="107" t="s">
        <v>385</v>
      </c>
      <c r="C157" s="109">
        <v>1984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1">
        <v>0</v>
      </c>
      <c r="L157" s="111">
        <v>0</v>
      </c>
      <c r="M157" s="111">
        <v>0</v>
      </c>
      <c r="N157" s="111">
        <v>0</v>
      </c>
      <c r="O157" s="111">
        <v>0</v>
      </c>
      <c r="P157" s="111">
        <v>0</v>
      </c>
      <c r="Q157" s="111">
        <v>0</v>
      </c>
      <c r="R157" s="111">
        <v>0</v>
      </c>
      <c r="S157" s="111">
        <v>0</v>
      </c>
      <c r="T157" s="111">
        <v>0</v>
      </c>
      <c r="U157" s="111">
        <v>0</v>
      </c>
      <c r="V157" s="111">
        <v>0</v>
      </c>
      <c r="W157" s="110">
        <v>0</v>
      </c>
      <c r="X157" s="111">
        <f>ROUND(525460/(15*60+16),1)</f>
        <v>573.6</v>
      </c>
      <c r="Y157" s="111">
        <v>0</v>
      </c>
      <c r="Z157" s="122">
        <f>SUM(D157:Y157)-SUM(D157,E157,F157,G157,H157,I157,J157)</f>
        <v>573.6</v>
      </c>
    </row>
    <row r="158" spans="1:26" s="33" customFormat="1" ht="11.25">
      <c r="A158" s="127" t="s">
        <v>388</v>
      </c>
      <c r="B158" s="107" t="s">
        <v>387</v>
      </c>
      <c r="C158" s="129">
        <v>1976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1">
        <v>0</v>
      </c>
      <c r="L158" s="111">
        <v>0</v>
      </c>
      <c r="M158" s="111">
        <v>0</v>
      </c>
      <c r="N158" s="111">
        <v>0</v>
      </c>
      <c r="O158" s="111">
        <v>0</v>
      </c>
      <c r="P158" s="111">
        <v>0</v>
      </c>
      <c r="Q158" s="111">
        <v>0</v>
      </c>
      <c r="R158" s="111">
        <f>ROUND(468940/(13*60+43),1)</f>
        <v>569.8</v>
      </c>
      <c r="S158" s="112">
        <v>0</v>
      </c>
      <c r="T158" s="112">
        <v>0</v>
      </c>
      <c r="U158" s="111">
        <v>0</v>
      </c>
      <c r="V158" s="111">
        <v>0</v>
      </c>
      <c r="W158" s="110">
        <v>0</v>
      </c>
      <c r="X158" s="111">
        <v>0</v>
      </c>
      <c r="Y158" s="111">
        <v>0</v>
      </c>
      <c r="Z158" s="122">
        <f>SUM(D158:Y158)-SUM(D158,E158,F158,G158,H158,I158,J158)</f>
        <v>569.8</v>
      </c>
    </row>
    <row r="159" spans="1:26" s="33" customFormat="1" ht="11.25">
      <c r="A159" s="127" t="s">
        <v>390</v>
      </c>
      <c r="B159" s="107" t="s">
        <v>389</v>
      </c>
      <c r="C159" s="109">
        <v>1987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1">
        <v>0</v>
      </c>
      <c r="L159" s="111">
        <v>0</v>
      </c>
      <c r="M159" s="111">
        <v>0</v>
      </c>
      <c r="N159" s="111">
        <v>0</v>
      </c>
      <c r="O159" s="111">
        <v>0</v>
      </c>
      <c r="P159" s="111">
        <v>0</v>
      </c>
      <c r="Q159" s="111">
        <v>0</v>
      </c>
      <c r="R159" s="111">
        <v>0</v>
      </c>
      <c r="S159" s="123">
        <f>ROUND(1645837/(48*60+21),1)</f>
        <v>567.3</v>
      </c>
      <c r="T159" s="112">
        <v>0</v>
      </c>
      <c r="U159" s="111">
        <v>0</v>
      </c>
      <c r="V159" s="111">
        <v>0</v>
      </c>
      <c r="W159" s="110">
        <v>0</v>
      </c>
      <c r="X159" s="111">
        <v>0</v>
      </c>
      <c r="Y159" s="111">
        <v>0</v>
      </c>
      <c r="Z159" s="122">
        <f>SUM(D159:Y159)-SUM(D159,E159,F159,G159,H159,I159,J159)</f>
        <v>567.3</v>
      </c>
    </row>
    <row r="160" spans="1:26" s="33" customFormat="1" ht="11.25">
      <c r="A160" s="108" t="s">
        <v>392</v>
      </c>
      <c r="B160" s="107" t="s">
        <v>391</v>
      </c>
      <c r="C160" s="109">
        <v>1977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1">
        <v>0</v>
      </c>
      <c r="L160" s="111">
        <f>ROUND(938208/(28*60+6),1)</f>
        <v>556.5</v>
      </c>
      <c r="M160" s="112">
        <v>0</v>
      </c>
      <c r="N160" s="112">
        <v>0</v>
      </c>
      <c r="O160" s="111">
        <v>0</v>
      </c>
      <c r="P160" s="111">
        <v>0</v>
      </c>
      <c r="Q160" s="112">
        <v>0</v>
      </c>
      <c r="R160" s="111">
        <v>0</v>
      </c>
      <c r="S160" s="112">
        <v>0</v>
      </c>
      <c r="T160" s="112">
        <v>0</v>
      </c>
      <c r="U160" s="111">
        <v>0</v>
      </c>
      <c r="V160" s="111">
        <v>0</v>
      </c>
      <c r="W160" s="110">
        <v>0</v>
      </c>
      <c r="X160" s="111">
        <v>0</v>
      </c>
      <c r="Y160" s="111">
        <v>0</v>
      </c>
      <c r="Z160" s="122">
        <f>SUM(D160:Y160)-SUM(D160,E160,F160,G160,H160,I160,J160)</f>
        <v>556.5</v>
      </c>
    </row>
    <row r="161" spans="1:26" s="33" customFormat="1" ht="11.25">
      <c r="A161" s="131" t="s">
        <v>394</v>
      </c>
      <c r="B161" s="107" t="s">
        <v>393</v>
      </c>
      <c r="C161" s="109">
        <v>1961</v>
      </c>
      <c r="D161" s="110">
        <v>0</v>
      </c>
      <c r="E161" s="110">
        <v>0</v>
      </c>
      <c r="F161" s="110">
        <v>0</v>
      </c>
      <c r="G161" s="115">
        <f>ROUND(2141750/(64*60+13),1)</f>
        <v>555.9</v>
      </c>
      <c r="H161" s="116">
        <v>0</v>
      </c>
      <c r="I161" s="110">
        <v>0</v>
      </c>
      <c r="J161" s="116">
        <v>0</v>
      </c>
      <c r="K161" s="116">
        <v>0</v>
      </c>
      <c r="L161" s="111">
        <v>0</v>
      </c>
      <c r="M161" s="112">
        <v>0</v>
      </c>
      <c r="N161" s="112">
        <v>0</v>
      </c>
      <c r="O161" s="111">
        <v>0</v>
      </c>
      <c r="P161" s="111">
        <v>0</v>
      </c>
      <c r="Q161" s="112">
        <v>0</v>
      </c>
      <c r="R161" s="111">
        <v>0</v>
      </c>
      <c r="S161" s="112">
        <v>0</v>
      </c>
      <c r="T161" s="112">
        <v>0</v>
      </c>
      <c r="U161" s="112">
        <v>0</v>
      </c>
      <c r="V161" s="111">
        <v>0</v>
      </c>
      <c r="W161" s="110">
        <v>0</v>
      </c>
      <c r="X161" s="111">
        <v>0</v>
      </c>
      <c r="Y161" s="111">
        <v>0</v>
      </c>
      <c r="Z161" s="122">
        <f>SUM(D161:Y161)-SUM(D161,E161,F161,H161,I161,J161,K161)</f>
        <v>555.9</v>
      </c>
    </row>
    <row r="162" spans="1:26" s="33" customFormat="1" ht="11.25">
      <c r="A162" s="108" t="s">
        <v>396</v>
      </c>
      <c r="B162" s="107" t="s">
        <v>395</v>
      </c>
      <c r="C162" s="109">
        <v>2003</v>
      </c>
      <c r="D162" s="110">
        <v>0</v>
      </c>
      <c r="E162" s="110">
        <v>0</v>
      </c>
      <c r="F162" s="110">
        <v>0</v>
      </c>
      <c r="G162" s="110">
        <v>0</v>
      </c>
      <c r="H162" s="115">
        <f>ROUND(700551/(21*60+28),1)</f>
        <v>543.9</v>
      </c>
      <c r="I162" s="110">
        <v>0</v>
      </c>
      <c r="J162" s="116">
        <v>0</v>
      </c>
      <c r="K162" s="116">
        <v>0</v>
      </c>
      <c r="L162" s="111">
        <v>0</v>
      </c>
      <c r="M162" s="112">
        <v>0</v>
      </c>
      <c r="N162" s="112">
        <v>0</v>
      </c>
      <c r="O162" s="111">
        <v>0</v>
      </c>
      <c r="P162" s="111">
        <v>0</v>
      </c>
      <c r="Q162" s="112">
        <v>0</v>
      </c>
      <c r="R162" s="111">
        <v>0</v>
      </c>
      <c r="S162" s="112">
        <v>0</v>
      </c>
      <c r="T162" s="112">
        <v>0</v>
      </c>
      <c r="U162" s="111">
        <v>0</v>
      </c>
      <c r="V162" s="111">
        <v>0</v>
      </c>
      <c r="W162" s="110">
        <v>0</v>
      </c>
      <c r="X162" s="111">
        <v>0</v>
      </c>
      <c r="Y162" s="111">
        <v>0</v>
      </c>
      <c r="Z162" s="122">
        <f>SUM(D162:Y162)-SUM(D162,E162,F162,G162,J162,K162)</f>
        <v>543.9</v>
      </c>
    </row>
    <row r="163" spans="1:26" s="33" customFormat="1" ht="11.25">
      <c r="A163" s="110" t="s">
        <v>398</v>
      </c>
      <c r="B163" s="107" t="s">
        <v>397</v>
      </c>
      <c r="C163" s="109">
        <v>1978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1">
        <v>0</v>
      </c>
      <c r="L163" s="111"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v>0</v>
      </c>
      <c r="R163" s="111">
        <v>0</v>
      </c>
      <c r="S163" s="111">
        <v>0</v>
      </c>
      <c r="T163" s="111">
        <v>0</v>
      </c>
      <c r="U163" s="111">
        <v>0</v>
      </c>
      <c r="V163" s="111">
        <v>0</v>
      </c>
      <c r="W163" s="110">
        <v>0</v>
      </c>
      <c r="X163" s="111">
        <f>ROUND(507390/(15*60+41),1)</f>
        <v>539.2</v>
      </c>
      <c r="Y163" s="111">
        <v>0</v>
      </c>
      <c r="Z163" s="122">
        <f aca="true" t="shared" si="2" ref="Z163:Z176">SUM(D163:Y163)-SUM(D163,E163,F163,G163,H163,I163,J163)</f>
        <v>539.2</v>
      </c>
    </row>
    <row r="164" spans="1:26" s="33" customFormat="1" ht="11.25">
      <c r="A164" s="127" t="s">
        <v>400</v>
      </c>
      <c r="B164" s="107" t="s">
        <v>399</v>
      </c>
      <c r="C164" s="128">
        <v>2000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5">
        <f>ROUND(1119011/(35*60+8),1)</f>
        <v>530.8</v>
      </c>
      <c r="L164" s="111">
        <v>0</v>
      </c>
      <c r="M164" s="112">
        <v>0</v>
      </c>
      <c r="N164" s="112">
        <v>0</v>
      </c>
      <c r="O164" s="111">
        <v>0</v>
      </c>
      <c r="P164" s="111">
        <v>0</v>
      </c>
      <c r="Q164" s="112">
        <v>0</v>
      </c>
      <c r="R164" s="111">
        <v>0</v>
      </c>
      <c r="S164" s="112">
        <v>0</v>
      </c>
      <c r="T164" s="112">
        <v>0</v>
      </c>
      <c r="U164" s="111">
        <v>0</v>
      </c>
      <c r="V164" s="111">
        <v>0</v>
      </c>
      <c r="W164" s="110">
        <v>0</v>
      </c>
      <c r="X164" s="111">
        <v>0</v>
      </c>
      <c r="Y164" s="111">
        <v>0</v>
      </c>
      <c r="Z164" s="122">
        <f t="shared" si="2"/>
        <v>530.8</v>
      </c>
    </row>
    <row r="165" spans="1:26" s="33" customFormat="1" ht="11.25">
      <c r="A165" s="108" t="s">
        <v>224</v>
      </c>
      <c r="B165" s="107" t="s">
        <v>401</v>
      </c>
      <c r="C165" s="109">
        <v>2007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1">
        <v>0</v>
      </c>
      <c r="L165" s="111">
        <v>0</v>
      </c>
      <c r="M165" s="111">
        <v>0</v>
      </c>
      <c r="N165" s="111">
        <v>0</v>
      </c>
      <c r="O165" s="111">
        <v>0</v>
      </c>
      <c r="P165" s="111">
        <v>0</v>
      </c>
      <c r="Q165" s="111">
        <v>0</v>
      </c>
      <c r="R165" s="111">
        <v>0</v>
      </c>
      <c r="S165" s="111">
        <v>0</v>
      </c>
      <c r="T165" s="111">
        <v>0</v>
      </c>
      <c r="U165" s="111">
        <f>ROUND(1419000/(44*60+39),1)</f>
        <v>529.7</v>
      </c>
      <c r="V165" s="111">
        <v>0</v>
      </c>
      <c r="W165" s="110">
        <v>0</v>
      </c>
      <c r="X165" s="111">
        <v>0</v>
      </c>
      <c r="Y165" s="111">
        <v>0</v>
      </c>
      <c r="Z165" s="122">
        <f t="shared" si="2"/>
        <v>529.7</v>
      </c>
    </row>
    <row r="166" spans="1:26" s="33" customFormat="1" ht="11.25">
      <c r="A166" s="127" t="s">
        <v>403</v>
      </c>
      <c r="B166" s="107" t="s">
        <v>402</v>
      </c>
      <c r="C166" s="129">
        <v>1984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1">
        <v>0</v>
      </c>
      <c r="L166" s="111">
        <v>0</v>
      </c>
      <c r="M166" s="111">
        <v>0</v>
      </c>
      <c r="N166" s="111">
        <v>0</v>
      </c>
      <c r="O166" s="111">
        <v>0</v>
      </c>
      <c r="P166" s="111">
        <v>0</v>
      </c>
      <c r="Q166" s="111">
        <v>0</v>
      </c>
      <c r="R166" s="102">
        <f>ROUND(438100/(13*60+52),1)</f>
        <v>526.6</v>
      </c>
      <c r="S166" s="112">
        <v>0</v>
      </c>
      <c r="T166" s="112">
        <v>0</v>
      </c>
      <c r="U166" s="111">
        <v>0</v>
      </c>
      <c r="V166" s="111">
        <v>0</v>
      </c>
      <c r="W166" s="110">
        <v>0</v>
      </c>
      <c r="X166" s="102">
        <v>0</v>
      </c>
      <c r="Y166" s="102">
        <v>0</v>
      </c>
      <c r="Z166" s="122">
        <f t="shared" si="2"/>
        <v>526.6</v>
      </c>
    </row>
    <row r="167" spans="1:26" s="33" customFormat="1" ht="11.25">
      <c r="A167" s="127" t="s">
        <v>405</v>
      </c>
      <c r="B167" s="107" t="s">
        <v>404</v>
      </c>
      <c r="C167" s="109">
        <v>1980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1">
        <v>0</v>
      </c>
      <c r="L167" s="111">
        <v>0</v>
      </c>
      <c r="M167" s="111">
        <v>0</v>
      </c>
      <c r="N167" s="111">
        <v>0</v>
      </c>
      <c r="O167" s="111">
        <v>0</v>
      </c>
      <c r="P167" s="111">
        <v>0</v>
      </c>
      <c r="Q167" s="111">
        <v>0</v>
      </c>
      <c r="R167" s="102">
        <v>0</v>
      </c>
      <c r="S167" s="123">
        <f>ROUND(1534241/(48*60+54),1)</f>
        <v>522.9</v>
      </c>
      <c r="T167" s="112">
        <v>0</v>
      </c>
      <c r="U167" s="111">
        <v>0</v>
      </c>
      <c r="V167" s="112">
        <v>0</v>
      </c>
      <c r="W167" s="110">
        <v>0</v>
      </c>
      <c r="X167" s="102">
        <v>0</v>
      </c>
      <c r="Y167" s="102">
        <v>0</v>
      </c>
      <c r="Z167" s="122">
        <f t="shared" si="2"/>
        <v>522.9</v>
      </c>
    </row>
    <row r="168" spans="1:26" s="33" customFormat="1" ht="11.25">
      <c r="A168" s="108" t="s">
        <v>407</v>
      </c>
      <c r="B168" s="107" t="s">
        <v>406</v>
      </c>
      <c r="C168" s="109">
        <v>1989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1">
        <v>0</v>
      </c>
      <c r="L168" s="111">
        <v>0</v>
      </c>
      <c r="M168" s="111">
        <v>0</v>
      </c>
      <c r="N168" s="111">
        <v>0</v>
      </c>
      <c r="O168" s="115">
        <f>ROUND(448960/(14*60+20),1)</f>
        <v>522</v>
      </c>
      <c r="P168" s="111">
        <v>0</v>
      </c>
      <c r="Q168" s="112">
        <v>0</v>
      </c>
      <c r="R168" s="111">
        <v>0</v>
      </c>
      <c r="S168" s="112">
        <v>0</v>
      </c>
      <c r="T168" s="112">
        <v>0</v>
      </c>
      <c r="U168" s="111">
        <v>0</v>
      </c>
      <c r="V168" s="111">
        <v>0</v>
      </c>
      <c r="W168" s="110">
        <v>0</v>
      </c>
      <c r="X168" s="111">
        <v>0</v>
      </c>
      <c r="Y168" s="111">
        <v>0</v>
      </c>
      <c r="Z168" s="122">
        <f t="shared" si="2"/>
        <v>522</v>
      </c>
    </row>
    <row r="169" spans="1:26" s="33" customFormat="1" ht="11.25">
      <c r="A169" s="108" t="s">
        <v>409</v>
      </c>
      <c r="B169" s="107" t="s">
        <v>408</v>
      </c>
      <c r="C169" s="109">
        <v>1986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1">
        <v>0</v>
      </c>
      <c r="L169" s="111">
        <v>0</v>
      </c>
      <c r="M169" s="111">
        <v>0</v>
      </c>
      <c r="N169" s="111">
        <v>0</v>
      </c>
      <c r="O169" s="111">
        <v>0</v>
      </c>
      <c r="P169" s="111">
        <v>0</v>
      </c>
      <c r="Q169" s="111">
        <v>0</v>
      </c>
      <c r="R169" s="111">
        <v>0</v>
      </c>
      <c r="S169" s="111">
        <v>0</v>
      </c>
      <c r="T169" s="115">
        <f>ROUND(1295433/(41*60+25),1)</f>
        <v>521.3</v>
      </c>
      <c r="U169" s="111">
        <v>0</v>
      </c>
      <c r="V169" s="111">
        <v>0</v>
      </c>
      <c r="W169" s="110">
        <v>0</v>
      </c>
      <c r="X169" s="111">
        <v>0</v>
      </c>
      <c r="Y169" s="111">
        <v>0</v>
      </c>
      <c r="Z169" s="122">
        <f t="shared" si="2"/>
        <v>521.3</v>
      </c>
    </row>
    <row r="170" spans="1:26" s="33" customFormat="1" ht="11.25">
      <c r="A170" s="110" t="s">
        <v>411</v>
      </c>
      <c r="B170" s="107" t="s">
        <v>410</v>
      </c>
      <c r="C170" s="109">
        <v>2002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1">
        <v>0</v>
      </c>
      <c r="L170" s="111">
        <v>0</v>
      </c>
      <c r="M170" s="111">
        <v>0</v>
      </c>
      <c r="N170" s="111">
        <v>0</v>
      </c>
      <c r="O170" s="111">
        <v>0</v>
      </c>
      <c r="P170" s="111">
        <v>0</v>
      </c>
      <c r="Q170" s="111">
        <v>0</v>
      </c>
      <c r="R170" s="111">
        <v>0</v>
      </c>
      <c r="S170" s="111">
        <v>0</v>
      </c>
      <c r="T170" s="111">
        <v>0</v>
      </c>
      <c r="U170" s="111">
        <v>0</v>
      </c>
      <c r="V170" s="111">
        <v>0</v>
      </c>
      <c r="W170" s="111">
        <v>0</v>
      </c>
      <c r="X170" s="111">
        <v>0</v>
      </c>
      <c r="Y170" s="111">
        <f>ROUND(778390/(24*60+58),1)</f>
        <v>519.6</v>
      </c>
      <c r="Z170" s="122">
        <f t="shared" si="2"/>
        <v>519.6</v>
      </c>
    </row>
    <row r="171" spans="1:26" s="33" customFormat="1" ht="11.25">
      <c r="A171" s="108" t="s">
        <v>413</v>
      </c>
      <c r="B171" s="107" t="s">
        <v>412</v>
      </c>
      <c r="C171" s="109">
        <v>1962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1">
        <v>0</v>
      </c>
      <c r="L171" s="111">
        <v>0</v>
      </c>
      <c r="M171" s="111">
        <v>0</v>
      </c>
      <c r="N171" s="111">
        <v>0</v>
      </c>
      <c r="O171" s="111">
        <v>0</v>
      </c>
      <c r="P171" s="111">
        <v>0</v>
      </c>
      <c r="Q171" s="111">
        <v>0</v>
      </c>
      <c r="R171" s="102">
        <v>0</v>
      </c>
      <c r="S171" s="111">
        <v>0</v>
      </c>
      <c r="T171" s="115">
        <f>ROUND(1777786/(58*60+21),1)</f>
        <v>507.8</v>
      </c>
      <c r="U171" s="112">
        <v>0</v>
      </c>
      <c r="V171" s="111">
        <v>0</v>
      </c>
      <c r="W171" s="110">
        <v>0</v>
      </c>
      <c r="X171" s="102">
        <v>0</v>
      </c>
      <c r="Y171" s="102">
        <v>0</v>
      </c>
      <c r="Z171" s="122">
        <f t="shared" si="2"/>
        <v>507.8</v>
      </c>
    </row>
    <row r="172" spans="1:26" s="33" customFormat="1" ht="11.25">
      <c r="A172" s="127" t="s">
        <v>415</v>
      </c>
      <c r="B172" s="107" t="s">
        <v>414</v>
      </c>
      <c r="C172" s="129">
        <v>1980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1">
        <v>0</v>
      </c>
      <c r="L172" s="111">
        <v>0</v>
      </c>
      <c r="M172" s="111">
        <v>0</v>
      </c>
      <c r="N172" s="111">
        <v>0</v>
      </c>
      <c r="O172" s="111">
        <v>0</v>
      </c>
      <c r="P172" s="111">
        <v>0</v>
      </c>
      <c r="Q172" s="111">
        <v>0</v>
      </c>
      <c r="R172" s="111">
        <f>ROUND(504970/(16*60+35),1)</f>
        <v>507.5</v>
      </c>
      <c r="S172" s="112">
        <v>0</v>
      </c>
      <c r="T172" s="112">
        <v>0</v>
      </c>
      <c r="U172" s="111">
        <v>0</v>
      </c>
      <c r="V172" s="111">
        <v>0</v>
      </c>
      <c r="W172" s="110">
        <v>0</v>
      </c>
      <c r="X172" s="121">
        <v>0</v>
      </c>
      <c r="Y172" s="121">
        <v>0</v>
      </c>
      <c r="Z172" s="122">
        <f t="shared" si="2"/>
        <v>507.5</v>
      </c>
    </row>
    <row r="173" spans="1:26" s="33" customFormat="1" ht="11.25">
      <c r="A173" s="127" t="s">
        <v>417</v>
      </c>
      <c r="B173" s="107" t="s">
        <v>416</v>
      </c>
      <c r="C173" s="129">
        <v>1982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1">
        <v>0</v>
      </c>
      <c r="L173" s="111">
        <v>0</v>
      </c>
      <c r="M173" s="111">
        <v>0</v>
      </c>
      <c r="N173" s="111">
        <v>0</v>
      </c>
      <c r="O173" s="111">
        <v>0</v>
      </c>
      <c r="P173" s="111">
        <v>0</v>
      </c>
      <c r="Q173" s="111">
        <v>0</v>
      </c>
      <c r="R173" s="115">
        <f>ROUND(504970/(16*60+36),1)</f>
        <v>507</v>
      </c>
      <c r="S173" s="112">
        <v>0</v>
      </c>
      <c r="T173" s="112">
        <v>0</v>
      </c>
      <c r="U173" s="111">
        <v>0</v>
      </c>
      <c r="V173" s="111">
        <v>0</v>
      </c>
      <c r="W173" s="110">
        <v>0</v>
      </c>
      <c r="X173" s="121">
        <v>0</v>
      </c>
      <c r="Y173" s="121">
        <v>0</v>
      </c>
      <c r="Z173" s="122">
        <f t="shared" si="2"/>
        <v>507</v>
      </c>
    </row>
    <row r="174" spans="1:26" s="33" customFormat="1" ht="11.25">
      <c r="A174" s="132" t="s">
        <v>419</v>
      </c>
      <c r="B174" s="107" t="s">
        <v>418</v>
      </c>
      <c r="C174" s="128">
        <v>1992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1">
        <v>0</v>
      </c>
      <c r="L174" s="111">
        <v>0</v>
      </c>
      <c r="M174" s="111">
        <v>0</v>
      </c>
      <c r="N174" s="111">
        <v>0</v>
      </c>
      <c r="O174" s="111">
        <v>0</v>
      </c>
      <c r="P174" s="111">
        <v>0</v>
      </c>
      <c r="Q174" s="111">
        <v>0</v>
      </c>
      <c r="R174" s="111">
        <v>0</v>
      </c>
      <c r="S174" s="111">
        <v>0</v>
      </c>
      <c r="T174" s="111">
        <v>0</v>
      </c>
      <c r="U174" s="111">
        <v>0</v>
      </c>
      <c r="V174" s="111">
        <v>0</v>
      </c>
      <c r="W174" s="110">
        <v>0</v>
      </c>
      <c r="X174" s="111">
        <f>ROUND(538910/(17*60+44),1)</f>
        <v>506.5</v>
      </c>
      <c r="Y174" s="111">
        <v>0</v>
      </c>
      <c r="Z174" s="122">
        <f t="shared" si="2"/>
        <v>506.5</v>
      </c>
    </row>
    <row r="175" spans="1:26" s="33" customFormat="1" ht="11.25">
      <c r="A175" s="132" t="s">
        <v>421</v>
      </c>
      <c r="B175" s="107" t="s">
        <v>420</v>
      </c>
      <c r="C175" s="128">
        <v>1987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5">
        <f>ROUND(1082113/(35*60+58),1)</f>
        <v>501.4</v>
      </c>
      <c r="L175" s="111">
        <v>0</v>
      </c>
      <c r="M175" s="111">
        <v>0</v>
      </c>
      <c r="N175" s="112">
        <v>0</v>
      </c>
      <c r="O175" s="111">
        <v>0</v>
      </c>
      <c r="P175" s="111">
        <v>0</v>
      </c>
      <c r="Q175" s="112">
        <v>0</v>
      </c>
      <c r="R175" s="111">
        <v>0</v>
      </c>
      <c r="S175" s="112">
        <v>0</v>
      </c>
      <c r="T175" s="112">
        <v>0</v>
      </c>
      <c r="U175" s="111">
        <v>0</v>
      </c>
      <c r="V175" s="111">
        <v>0</v>
      </c>
      <c r="W175" s="110">
        <v>0</v>
      </c>
      <c r="X175" s="111">
        <v>0</v>
      </c>
      <c r="Y175" s="111">
        <v>0</v>
      </c>
      <c r="Z175" s="122">
        <f t="shared" si="2"/>
        <v>501.4</v>
      </c>
    </row>
    <row r="176" spans="1:26" s="33" customFormat="1" ht="11.25">
      <c r="A176" s="127" t="s">
        <v>423</v>
      </c>
      <c r="B176" s="133" t="s">
        <v>422</v>
      </c>
      <c r="C176" s="129">
        <v>1983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1">
        <v>0</v>
      </c>
      <c r="L176" s="111">
        <v>0</v>
      </c>
      <c r="M176" s="111">
        <v>0</v>
      </c>
      <c r="N176" s="111">
        <v>0</v>
      </c>
      <c r="O176" s="111">
        <v>0</v>
      </c>
      <c r="P176" s="111">
        <v>0</v>
      </c>
      <c r="Q176" s="111">
        <v>0</v>
      </c>
      <c r="R176" s="115">
        <f>ROUND(504970/(16*60+52),1)</f>
        <v>499</v>
      </c>
      <c r="S176" s="112">
        <v>0</v>
      </c>
      <c r="T176" s="112">
        <v>0</v>
      </c>
      <c r="U176" s="111">
        <v>0</v>
      </c>
      <c r="V176" s="111">
        <v>0</v>
      </c>
      <c r="W176" s="110">
        <v>0</v>
      </c>
      <c r="X176" s="121">
        <v>0</v>
      </c>
      <c r="Y176" s="121">
        <v>0</v>
      </c>
      <c r="Z176" s="122">
        <f t="shared" si="2"/>
        <v>499</v>
      </c>
    </row>
    <row r="177" spans="1:26" s="33" customFormat="1" ht="11.25">
      <c r="A177" s="110" t="s">
        <v>425</v>
      </c>
      <c r="B177" s="133" t="s">
        <v>424</v>
      </c>
      <c r="C177" s="109">
        <v>1981</v>
      </c>
      <c r="D177" s="110">
        <v>0</v>
      </c>
      <c r="E177" s="110">
        <v>0</v>
      </c>
      <c r="F177" s="110">
        <v>0</v>
      </c>
      <c r="G177" s="123">
        <f>ROUND(1799680/(60*60+7),1)</f>
        <v>498.9</v>
      </c>
      <c r="H177" s="116">
        <v>0</v>
      </c>
      <c r="I177" s="110">
        <v>0</v>
      </c>
      <c r="J177" s="116">
        <v>0</v>
      </c>
      <c r="K177" s="116">
        <v>0</v>
      </c>
      <c r="L177" s="111">
        <v>0</v>
      </c>
      <c r="M177" s="111">
        <v>0</v>
      </c>
      <c r="N177" s="117">
        <v>0</v>
      </c>
      <c r="O177" s="121">
        <v>0</v>
      </c>
      <c r="P177" s="121">
        <v>0</v>
      </c>
      <c r="Q177" s="117">
        <v>0</v>
      </c>
      <c r="R177" s="121">
        <v>0</v>
      </c>
      <c r="S177" s="112">
        <v>0</v>
      </c>
      <c r="T177" s="112">
        <v>0</v>
      </c>
      <c r="U177" s="111">
        <v>0</v>
      </c>
      <c r="V177" s="111">
        <v>0</v>
      </c>
      <c r="W177" s="110">
        <v>0</v>
      </c>
      <c r="X177" s="121">
        <v>0</v>
      </c>
      <c r="Y177" s="121">
        <v>0</v>
      </c>
      <c r="Z177" s="122">
        <f>SUM(D177:Y177)-SUM(D177,E177,F177,H177,I177,J177,K177)</f>
        <v>498.9</v>
      </c>
    </row>
    <row r="178" spans="1:26" s="33" customFormat="1" ht="11.25">
      <c r="A178" s="127" t="s">
        <v>427</v>
      </c>
      <c r="B178" s="107" t="s">
        <v>426</v>
      </c>
      <c r="C178" s="129">
        <v>1973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1">
        <v>0</v>
      </c>
      <c r="L178" s="111">
        <v>0</v>
      </c>
      <c r="M178" s="111">
        <v>0</v>
      </c>
      <c r="N178" s="111">
        <v>0</v>
      </c>
      <c r="O178" s="111">
        <v>0</v>
      </c>
      <c r="P178" s="111">
        <v>0</v>
      </c>
      <c r="Q178" s="111">
        <v>0</v>
      </c>
      <c r="R178" s="115">
        <f>ROUND(548340/(18*60+21),1)</f>
        <v>498</v>
      </c>
      <c r="S178" s="112">
        <v>0</v>
      </c>
      <c r="T178" s="112">
        <v>0</v>
      </c>
      <c r="U178" s="111">
        <v>0</v>
      </c>
      <c r="V178" s="111">
        <v>0</v>
      </c>
      <c r="W178" s="110">
        <v>0</v>
      </c>
      <c r="X178" s="121">
        <v>0</v>
      </c>
      <c r="Y178" s="121">
        <v>0</v>
      </c>
      <c r="Z178" s="122">
        <f aca="true" t="shared" si="3" ref="Z178:Z183">SUM(D178:Y178)-SUM(D178,E178,F178,G178,H178,I178,J178)</f>
        <v>498</v>
      </c>
    </row>
    <row r="179" spans="1:26" s="33" customFormat="1" ht="11.25">
      <c r="A179" s="110" t="s">
        <v>429</v>
      </c>
      <c r="B179" s="107" t="s">
        <v>428</v>
      </c>
      <c r="C179" s="109">
        <v>1988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1">
        <v>0</v>
      </c>
      <c r="L179" s="111">
        <v>0</v>
      </c>
      <c r="M179" s="111">
        <v>0</v>
      </c>
      <c r="N179" s="111">
        <v>0</v>
      </c>
      <c r="O179" s="111">
        <v>0</v>
      </c>
      <c r="P179" s="111">
        <v>0</v>
      </c>
      <c r="Q179" s="111">
        <v>0</v>
      </c>
      <c r="R179" s="111">
        <v>0</v>
      </c>
      <c r="S179" s="111">
        <v>0</v>
      </c>
      <c r="T179" s="111">
        <v>0</v>
      </c>
      <c r="U179" s="111">
        <v>0</v>
      </c>
      <c r="V179" s="111">
        <v>0</v>
      </c>
      <c r="W179" s="111">
        <v>0</v>
      </c>
      <c r="X179" s="111">
        <v>0</v>
      </c>
      <c r="Y179" s="111">
        <f>ROUND(755720/(25*60+42),1)</f>
        <v>490.1</v>
      </c>
      <c r="Z179" s="122">
        <f t="shared" si="3"/>
        <v>490.1</v>
      </c>
    </row>
    <row r="180" spans="1:26" s="33" customFormat="1" ht="11.25">
      <c r="A180" s="132" t="s">
        <v>431</v>
      </c>
      <c r="B180" s="107" t="s">
        <v>430</v>
      </c>
      <c r="C180" s="128">
        <v>1992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5">
        <f>ROUND(1119011/(38*60+15),1)</f>
        <v>487.6</v>
      </c>
      <c r="L180" s="111">
        <v>0</v>
      </c>
      <c r="M180" s="111">
        <v>0</v>
      </c>
      <c r="N180" s="112">
        <v>0</v>
      </c>
      <c r="O180" s="111">
        <v>0</v>
      </c>
      <c r="P180" s="111">
        <v>0</v>
      </c>
      <c r="Q180" s="112">
        <v>0</v>
      </c>
      <c r="R180" s="111">
        <v>0</v>
      </c>
      <c r="S180" s="112">
        <v>0</v>
      </c>
      <c r="T180" s="112">
        <v>0</v>
      </c>
      <c r="U180" s="111">
        <v>0</v>
      </c>
      <c r="V180" s="111">
        <v>0</v>
      </c>
      <c r="W180" s="110">
        <v>0</v>
      </c>
      <c r="X180" s="111">
        <v>0</v>
      </c>
      <c r="Y180" s="111">
        <v>0</v>
      </c>
      <c r="Z180" s="122">
        <f t="shared" si="3"/>
        <v>487.6</v>
      </c>
    </row>
    <row r="181" spans="1:26" s="33" customFormat="1" ht="11.25">
      <c r="A181" s="110" t="s">
        <v>433</v>
      </c>
      <c r="B181" s="107" t="s">
        <v>432</v>
      </c>
      <c r="C181" s="109">
        <v>2005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1">
        <v>0</v>
      </c>
      <c r="L181" s="111">
        <v>0</v>
      </c>
      <c r="M181" s="111">
        <v>0</v>
      </c>
      <c r="N181" s="111">
        <v>0</v>
      </c>
      <c r="O181" s="111">
        <v>0</v>
      </c>
      <c r="P181" s="111">
        <v>0</v>
      </c>
      <c r="Q181" s="111">
        <v>0</v>
      </c>
      <c r="R181" s="111">
        <v>0</v>
      </c>
      <c r="S181" s="111">
        <v>0</v>
      </c>
      <c r="T181" s="111">
        <v>0</v>
      </c>
      <c r="U181" s="111">
        <v>0</v>
      </c>
      <c r="V181" s="111">
        <v>0</v>
      </c>
      <c r="W181" s="110">
        <v>0</v>
      </c>
      <c r="X181" s="111">
        <f>ROUND(486180/(16*60+37),1)</f>
        <v>487.6</v>
      </c>
      <c r="Y181" s="111">
        <v>0</v>
      </c>
      <c r="Z181" s="122">
        <f t="shared" si="3"/>
        <v>487.6</v>
      </c>
    </row>
    <row r="182" spans="1:26" s="33" customFormat="1" ht="11.25">
      <c r="A182" s="110" t="s">
        <v>435</v>
      </c>
      <c r="B182" s="107" t="s">
        <v>434</v>
      </c>
      <c r="C182" s="109">
        <v>2008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1">
        <v>0</v>
      </c>
      <c r="L182" s="111">
        <v>0</v>
      </c>
      <c r="M182" s="111">
        <v>0</v>
      </c>
      <c r="N182" s="111">
        <v>0</v>
      </c>
      <c r="O182" s="111">
        <v>0</v>
      </c>
      <c r="P182" s="111">
        <v>0</v>
      </c>
      <c r="Q182" s="111">
        <v>0</v>
      </c>
      <c r="R182" s="111">
        <v>0</v>
      </c>
      <c r="S182" s="111">
        <v>0</v>
      </c>
      <c r="T182" s="111">
        <v>0</v>
      </c>
      <c r="U182" s="111">
        <v>0</v>
      </c>
      <c r="V182" s="111">
        <v>0</v>
      </c>
      <c r="W182" s="110">
        <v>0</v>
      </c>
      <c r="X182" s="111">
        <f>ROUND(486180/(16*60+40),1)</f>
        <v>486.2</v>
      </c>
      <c r="Y182" s="111">
        <v>0</v>
      </c>
      <c r="Z182" s="122">
        <f t="shared" si="3"/>
        <v>486.2</v>
      </c>
    </row>
    <row r="183" spans="1:26" s="33" customFormat="1" ht="11.25">
      <c r="A183" s="127" t="s">
        <v>437</v>
      </c>
      <c r="B183" s="107" t="s">
        <v>436</v>
      </c>
      <c r="C183" s="129">
        <v>1971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1">
        <v>0</v>
      </c>
      <c r="L183" s="111">
        <v>0</v>
      </c>
      <c r="M183" s="111">
        <v>0</v>
      </c>
      <c r="N183" s="111">
        <v>0</v>
      </c>
      <c r="O183" s="111">
        <v>0</v>
      </c>
      <c r="P183" s="111">
        <v>0</v>
      </c>
      <c r="Q183" s="111">
        <v>0</v>
      </c>
      <c r="R183" s="111">
        <f>ROUND(548340/(19*60+2),1)</f>
        <v>480.2</v>
      </c>
      <c r="S183" s="112">
        <v>0</v>
      </c>
      <c r="T183" s="112">
        <v>0</v>
      </c>
      <c r="U183" s="111">
        <v>0</v>
      </c>
      <c r="V183" s="111">
        <v>0</v>
      </c>
      <c r="W183" s="110">
        <v>0</v>
      </c>
      <c r="X183" s="121">
        <v>0</v>
      </c>
      <c r="Y183" s="121">
        <v>0</v>
      </c>
      <c r="Z183" s="122">
        <f t="shared" si="3"/>
        <v>480.2</v>
      </c>
    </row>
    <row r="184" spans="1:26" s="33" customFormat="1" ht="11.25">
      <c r="A184" s="134" t="s">
        <v>439</v>
      </c>
      <c r="B184" s="107" t="s">
        <v>438</v>
      </c>
      <c r="C184" s="109">
        <v>1985</v>
      </c>
      <c r="D184" s="111">
        <f>ROUND(816178/(29*60+16),1)</f>
        <v>464.8</v>
      </c>
      <c r="E184" s="110">
        <v>0</v>
      </c>
      <c r="F184" s="110">
        <v>0</v>
      </c>
      <c r="G184" s="116">
        <v>0</v>
      </c>
      <c r="H184" s="116">
        <v>0</v>
      </c>
      <c r="I184" s="110">
        <v>0</v>
      </c>
      <c r="J184" s="116">
        <v>0</v>
      </c>
      <c r="K184" s="116">
        <v>0</v>
      </c>
      <c r="L184" s="111">
        <v>0</v>
      </c>
      <c r="M184" s="111">
        <v>0</v>
      </c>
      <c r="N184" s="112">
        <v>0</v>
      </c>
      <c r="O184" s="111">
        <v>0</v>
      </c>
      <c r="P184" s="111">
        <v>0</v>
      </c>
      <c r="Q184" s="112">
        <v>0</v>
      </c>
      <c r="R184" s="111">
        <v>0</v>
      </c>
      <c r="S184" s="112">
        <v>0</v>
      </c>
      <c r="T184" s="112">
        <v>0</v>
      </c>
      <c r="U184" s="111">
        <v>0</v>
      </c>
      <c r="V184" s="111">
        <v>0</v>
      </c>
      <c r="W184" s="110">
        <v>0</v>
      </c>
      <c r="X184" s="111">
        <v>0</v>
      </c>
      <c r="Y184" s="111">
        <v>0</v>
      </c>
      <c r="Z184" s="122">
        <f>SUM(D184:Y184)-SUM(E184,F184,G184,H184,I184,J184,K184)</f>
        <v>464.8</v>
      </c>
    </row>
    <row r="185" spans="1:26" s="33" customFormat="1" ht="11.25">
      <c r="A185" s="135" t="s">
        <v>441</v>
      </c>
      <c r="B185" s="107" t="s">
        <v>440</v>
      </c>
      <c r="C185" s="136">
        <v>1995</v>
      </c>
      <c r="D185" s="111">
        <f>ROUND(932785/(33*60+28),1)</f>
        <v>464.5</v>
      </c>
      <c r="E185" s="110">
        <v>0</v>
      </c>
      <c r="F185" s="110">
        <v>0</v>
      </c>
      <c r="G185" s="116">
        <v>0</v>
      </c>
      <c r="H185" s="116">
        <v>0</v>
      </c>
      <c r="I185" s="110">
        <v>0</v>
      </c>
      <c r="J185" s="116">
        <v>0</v>
      </c>
      <c r="K185" s="116">
        <v>0</v>
      </c>
      <c r="L185" s="111">
        <v>0</v>
      </c>
      <c r="M185" s="111">
        <v>0</v>
      </c>
      <c r="N185" s="112">
        <v>0</v>
      </c>
      <c r="O185" s="111">
        <v>0</v>
      </c>
      <c r="P185" s="111">
        <v>0</v>
      </c>
      <c r="Q185" s="112">
        <v>0</v>
      </c>
      <c r="R185" s="111">
        <v>0</v>
      </c>
      <c r="S185" s="112">
        <v>0</v>
      </c>
      <c r="T185" s="112">
        <v>0</v>
      </c>
      <c r="U185" s="111">
        <v>0</v>
      </c>
      <c r="V185" s="111">
        <v>0</v>
      </c>
      <c r="W185" s="110">
        <v>0</v>
      </c>
      <c r="X185" s="111">
        <v>0</v>
      </c>
      <c r="Y185" s="111">
        <v>0</v>
      </c>
      <c r="Z185" s="122">
        <f>SUM(D185:Y185)-SUM(E185,F185,G185,H185,I185,J185,K185)</f>
        <v>464.5</v>
      </c>
    </row>
    <row r="186" spans="1:26" s="33" customFormat="1" ht="11.25">
      <c r="A186" s="110" t="s">
        <v>443</v>
      </c>
      <c r="B186" s="107" t="s">
        <v>442</v>
      </c>
      <c r="C186" s="109">
        <v>1970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1">
        <v>0</v>
      </c>
      <c r="L186" s="111">
        <v>0</v>
      </c>
      <c r="M186" s="111">
        <v>0</v>
      </c>
      <c r="N186" s="111">
        <v>0</v>
      </c>
      <c r="O186" s="111">
        <v>0</v>
      </c>
      <c r="P186" s="111">
        <v>0</v>
      </c>
      <c r="Q186" s="111">
        <v>0</v>
      </c>
      <c r="R186" s="111">
        <v>0</v>
      </c>
      <c r="S186" s="111">
        <v>0</v>
      </c>
      <c r="T186" s="115">
        <f>ROUND(1437977/(51*60+44),1)</f>
        <v>463.3</v>
      </c>
      <c r="U186" s="111">
        <v>0</v>
      </c>
      <c r="V186" s="111">
        <v>0</v>
      </c>
      <c r="W186" s="110">
        <v>0</v>
      </c>
      <c r="X186" s="111">
        <v>0</v>
      </c>
      <c r="Y186" s="111">
        <v>0</v>
      </c>
      <c r="Z186" s="122">
        <f>SUM(D186:Y186)-SUM(D186,E186,F186,G186,H186,I186,J186)</f>
        <v>463.3</v>
      </c>
    </row>
    <row r="187" spans="1:26" s="33" customFormat="1" ht="11.25">
      <c r="A187" s="110" t="s">
        <v>445</v>
      </c>
      <c r="B187" s="107" t="s">
        <v>444</v>
      </c>
      <c r="C187" s="109">
        <v>2005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1">
        <v>0</v>
      </c>
      <c r="L187" s="111">
        <v>0</v>
      </c>
      <c r="M187" s="111">
        <v>0</v>
      </c>
      <c r="N187" s="111">
        <v>0</v>
      </c>
      <c r="O187" s="111">
        <v>0</v>
      </c>
      <c r="P187" s="111">
        <v>0</v>
      </c>
      <c r="Q187" s="111">
        <v>0</v>
      </c>
      <c r="R187" s="111">
        <v>0</v>
      </c>
      <c r="S187" s="111">
        <v>0</v>
      </c>
      <c r="T187" s="111">
        <v>0</v>
      </c>
      <c r="U187" s="111">
        <v>0</v>
      </c>
      <c r="V187" s="111">
        <v>0</v>
      </c>
      <c r="W187" s="111">
        <v>0</v>
      </c>
      <c r="X187" s="111">
        <v>0</v>
      </c>
      <c r="Y187" s="111">
        <f>ROUND(778390/(28*60+0),1)</f>
        <v>463.3</v>
      </c>
      <c r="Z187" s="122">
        <f>SUM(D187:Y187)-SUM(D187,E187,F187,G187,H187,I187,J187)</f>
        <v>463.3</v>
      </c>
    </row>
    <row r="188" spans="1:26" s="33" customFormat="1" ht="11.25">
      <c r="A188" s="137" t="s">
        <v>447</v>
      </c>
      <c r="B188" s="107" t="s">
        <v>446</v>
      </c>
      <c r="C188" s="109">
        <v>2003</v>
      </c>
      <c r="D188" s="110">
        <v>0</v>
      </c>
      <c r="E188" s="110">
        <v>0</v>
      </c>
      <c r="F188" s="110">
        <v>0</v>
      </c>
      <c r="G188" s="115">
        <f>ROUND(1795000/(65*60+21),1)</f>
        <v>457.8</v>
      </c>
      <c r="H188" s="116">
        <v>0</v>
      </c>
      <c r="I188" s="110">
        <v>0</v>
      </c>
      <c r="J188" s="116">
        <v>0</v>
      </c>
      <c r="K188" s="116">
        <v>0</v>
      </c>
      <c r="L188" s="111">
        <v>0</v>
      </c>
      <c r="M188" s="111">
        <v>0</v>
      </c>
      <c r="N188" s="112">
        <v>0</v>
      </c>
      <c r="O188" s="111">
        <v>0</v>
      </c>
      <c r="P188" s="111">
        <v>0</v>
      </c>
      <c r="Q188" s="112">
        <v>0</v>
      </c>
      <c r="R188" s="111">
        <v>0</v>
      </c>
      <c r="S188" s="112">
        <v>0</v>
      </c>
      <c r="T188" s="112">
        <v>0</v>
      </c>
      <c r="U188" s="111">
        <v>0</v>
      </c>
      <c r="V188" s="111">
        <v>0</v>
      </c>
      <c r="W188" s="110">
        <v>0</v>
      </c>
      <c r="X188" s="111">
        <v>0</v>
      </c>
      <c r="Y188" s="111">
        <v>0</v>
      </c>
      <c r="Z188" s="122">
        <f>SUM(D188:Y188)-SUM(D188,E188,F188,H188,I188,J188,K188)</f>
        <v>457.8</v>
      </c>
    </row>
    <row r="189" spans="1:26" s="33" customFormat="1" ht="11.25">
      <c r="A189" s="110" t="s">
        <v>449</v>
      </c>
      <c r="B189" s="133" t="s">
        <v>448</v>
      </c>
      <c r="C189" s="109">
        <v>1958</v>
      </c>
      <c r="D189" s="110">
        <v>0</v>
      </c>
      <c r="E189" s="110">
        <v>0</v>
      </c>
      <c r="F189" s="110">
        <v>0</v>
      </c>
      <c r="G189" s="110">
        <v>0</v>
      </c>
      <c r="H189" s="115">
        <f>ROUND(855063/(31*60+8),1)</f>
        <v>457.7</v>
      </c>
      <c r="I189" s="110">
        <v>0</v>
      </c>
      <c r="J189" s="116">
        <v>0</v>
      </c>
      <c r="K189" s="116">
        <v>0</v>
      </c>
      <c r="L189" s="111">
        <v>0</v>
      </c>
      <c r="M189" s="111">
        <v>0</v>
      </c>
      <c r="N189" s="112">
        <v>0</v>
      </c>
      <c r="O189" s="111">
        <v>0</v>
      </c>
      <c r="P189" s="111">
        <v>0</v>
      </c>
      <c r="Q189" s="112">
        <v>0</v>
      </c>
      <c r="R189" s="111">
        <v>0</v>
      </c>
      <c r="S189" s="112">
        <v>0</v>
      </c>
      <c r="T189" s="112">
        <v>0</v>
      </c>
      <c r="U189" s="112">
        <v>0</v>
      </c>
      <c r="V189" s="111">
        <v>0</v>
      </c>
      <c r="W189" s="110">
        <v>0</v>
      </c>
      <c r="X189" s="111">
        <v>0</v>
      </c>
      <c r="Y189" s="111">
        <v>0</v>
      </c>
      <c r="Z189" s="122">
        <f>SUM(D189:Y189)-SUM(D189,E189,F189,G189,I189,J189,K189)</f>
        <v>457.7</v>
      </c>
    </row>
    <row r="190" spans="1:26" s="33" customFormat="1" ht="11.25">
      <c r="A190" s="110" t="s">
        <v>451</v>
      </c>
      <c r="B190" s="133" t="s">
        <v>450</v>
      </c>
      <c r="C190" s="109">
        <v>2008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1">
        <v>0</v>
      </c>
      <c r="L190" s="111">
        <v>0</v>
      </c>
      <c r="M190" s="111">
        <v>0</v>
      </c>
      <c r="N190" s="111">
        <v>0</v>
      </c>
      <c r="O190" s="111">
        <v>0</v>
      </c>
      <c r="P190" s="111">
        <v>0</v>
      </c>
      <c r="Q190" s="111">
        <v>0</v>
      </c>
      <c r="R190" s="111">
        <v>0</v>
      </c>
      <c r="S190" s="111">
        <v>0</v>
      </c>
      <c r="T190" s="115">
        <f>ROUND(1339616/(49*60+9),1)</f>
        <v>454.3</v>
      </c>
      <c r="U190" s="111">
        <v>0</v>
      </c>
      <c r="V190" s="111">
        <v>0</v>
      </c>
      <c r="W190" s="110">
        <v>0</v>
      </c>
      <c r="X190" s="111">
        <v>0</v>
      </c>
      <c r="Y190" s="111">
        <v>0</v>
      </c>
      <c r="Z190" s="122">
        <f>SUM(D190:Y190)-SUM(D190,E190,F190,G190,H190,I190,J190)</f>
        <v>454.3</v>
      </c>
    </row>
    <row r="191" spans="1:26" s="33" customFormat="1" ht="11.25">
      <c r="A191" s="127" t="s">
        <v>453</v>
      </c>
      <c r="B191" s="133" t="s">
        <v>452</v>
      </c>
      <c r="C191" s="129">
        <v>1974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1">
        <v>0</v>
      </c>
      <c r="L191" s="111">
        <v>0</v>
      </c>
      <c r="M191" s="111">
        <v>0</v>
      </c>
      <c r="N191" s="111">
        <v>0</v>
      </c>
      <c r="O191" s="111">
        <v>0</v>
      </c>
      <c r="P191" s="111">
        <v>0</v>
      </c>
      <c r="Q191" s="111">
        <v>0</v>
      </c>
      <c r="R191" s="111">
        <f>ROUND(525650/(19*60+27),1)</f>
        <v>450.4</v>
      </c>
      <c r="S191" s="112">
        <v>0</v>
      </c>
      <c r="T191" s="112">
        <v>0</v>
      </c>
      <c r="U191" s="111">
        <v>0</v>
      </c>
      <c r="V191" s="111">
        <v>0</v>
      </c>
      <c r="W191" s="110">
        <v>0</v>
      </c>
      <c r="X191" s="111">
        <v>0</v>
      </c>
      <c r="Y191" s="121">
        <v>0</v>
      </c>
      <c r="Z191" s="122">
        <f>SUM(D191:Y191)-SUM(D191,E191,F191,G191,H191,I191,J191)</f>
        <v>450.4</v>
      </c>
    </row>
    <row r="192" spans="1:26" s="33" customFormat="1" ht="11.25">
      <c r="A192" s="110" t="s">
        <v>455</v>
      </c>
      <c r="B192" s="133" t="s">
        <v>454</v>
      </c>
      <c r="C192" s="109">
        <v>1980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1">
        <v>0</v>
      </c>
      <c r="L192" s="111">
        <v>0</v>
      </c>
      <c r="M192" s="111">
        <v>0</v>
      </c>
      <c r="N192" s="111">
        <v>0</v>
      </c>
      <c r="O192" s="111">
        <v>0</v>
      </c>
      <c r="P192" s="111">
        <v>0</v>
      </c>
      <c r="Q192" s="111">
        <v>0</v>
      </c>
      <c r="R192" s="111">
        <v>0</v>
      </c>
      <c r="S192" s="111">
        <v>0</v>
      </c>
      <c r="T192" s="111">
        <v>0</v>
      </c>
      <c r="U192" s="111">
        <v>0</v>
      </c>
      <c r="V192" s="111">
        <v>0</v>
      </c>
      <c r="W192" s="110">
        <v>0</v>
      </c>
      <c r="X192" s="123">
        <f>ROUND(546010/(20*60+27),1)</f>
        <v>445</v>
      </c>
      <c r="Y192" s="121">
        <v>0</v>
      </c>
      <c r="Z192" s="122">
        <f>SUM(D192:Y192)-SUM(D192,E192,F192,G192,H192,I192,J192)</f>
        <v>445</v>
      </c>
    </row>
    <row r="193" spans="1:26" s="33" customFormat="1" ht="11.25">
      <c r="A193" s="110" t="s">
        <v>457</v>
      </c>
      <c r="B193" s="133" t="s">
        <v>456</v>
      </c>
      <c r="C193" s="109">
        <v>1980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1">
        <v>0</v>
      </c>
      <c r="L193" s="111">
        <v>0</v>
      </c>
      <c r="M193" s="111">
        <v>0</v>
      </c>
      <c r="N193" s="111">
        <v>0</v>
      </c>
      <c r="O193" s="111">
        <v>0</v>
      </c>
      <c r="P193" s="111">
        <v>0</v>
      </c>
      <c r="Q193" s="111">
        <v>0</v>
      </c>
      <c r="R193" s="111">
        <v>0</v>
      </c>
      <c r="S193" s="111">
        <v>0</v>
      </c>
      <c r="T193" s="111">
        <v>0</v>
      </c>
      <c r="U193" s="111">
        <v>0</v>
      </c>
      <c r="V193" s="111">
        <v>0</v>
      </c>
      <c r="W193" s="110">
        <v>0</v>
      </c>
      <c r="X193" s="123">
        <f>ROUND(546010/(20*60+27),1)</f>
        <v>445</v>
      </c>
      <c r="Y193" s="121">
        <v>0</v>
      </c>
      <c r="Z193" s="122">
        <f>SUM(D193:Y193)-SUM(D193,E193,F193,G193,H193,I193,J193)</f>
        <v>445</v>
      </c>
    </row>
    <row r="194" spans="1:26" s="33" customFormat="1" ht="11.25">
      <c r="A194" s="110" t="s">
        <v>459</v>
      </c>
      <c r="B194" s="133" t="s">
        <v>458</v>
      </c>
      <c r="C194" s="109">
        <v>1956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1">
        <v>0</v>
      </c>
      <c r="L194" s="111">
        <v>0</v>
      </c>
      <c r="M194" s="111">
        <v>0</v>
      </c>
      <c r="N194" s="111">
        <v>0</v>
      </c>
      <c r="O194" s="111">
        <v>0</v>
      </c>
      <c r="P194" s="111">
        <v>0</v>
      </c>
      <c r="Q194" s="111">
        <v>0</v>
      </c>
      <c r="R194" s="111">
        <v>0</v>
      </c>
      <c r="S194" s="111">
        <v>0</v>
      </c>
      <c r="T194" s="111">
        <v>0</v>
      </c>
      <c r="U194" s="111">
        <v>0</v>
      </c>
      <c r="V194" s="111">
        <v>0</v>
      </c>
      <c r="W194" s="110">
        <v>0</v>
      </c>
      <c r="X194" s="111">
        <f>ROUND(596170/(22*60+44),1)</f>
        <v>437.1</v>
      </c>
      <c r="Y194" s="111">
        <v>0</v>
      </c>
      <c r="Z194" s="122">
        <f>SUM(D194:Y194)-SUM(D194,E194,F194,G194,H194,I194,J194)</f>
        <v>437.1</v>
      </c>
    </row>
    <row r="195" spans="1:26" s="33" customFormat="1" ht="11.25">
      <c r="A195" s="110" t="s">
        <v>461</v>
      </c>
      <c r="B195" s="133" t="s">
        <v>460</v>
      </c>
      <c r="C195" s="109">
        <v>1984</v>
      </c>
      <c r="D195" s="111">
        <f>ROUND(905710/(34*60+37),1)</f>
        <v>436.1</v>
      </c>
      <c r="E195" s="110">
        <v>0</v>
      </c>
      <c r="F195" s="110">
        <v>0</v>
      </c>
      <c r="G195" s="116">
        <v>0</v>
      </c>
      <c r="H195" s="116">
        <v>0</v>
      </c>
      <c r="I195" s="110">
        <v>0</v>
      </c>
      <c r="J195" s="116">
        <v>0</v>
      </c>
      <c r="K195" s="116">
        <v>0</v>
      </c>
      <c r="L195" s="111">
        <v>0</v>
      </c>
      <c r="M195" s="112">
        <v>0</v>
      </c>
      <c r="N195" s="112">
        <v>0</v>
      </c>
      <c r="O195" s="111">
        <v>0</v>
      </c>
      <c r="P195" s="111">
        <v>0</v>
      </c>
      <c r="Q195" s="112">
        <v>0</v>
      </c>
      <c r="R195" s="111">
        <v>0</v>
      </c>
      <c r="S195" s="112">
        <v>0</v>
      </c>
      <c r="T195" s="112">
        <v>0</v>
      </c>
      <c r="U195" s="111">
        <v>0</v>
      </c>
      <c r="V195" s="111">
        <v>0</v>
      </c>
      <c r="W195" s="110">
        <v>0</v>
      </c>
      <c r="X195" s="111">
        <v>0</v>
      </c>
      <c r="Y195" s="111">
        <v>0</v>
      </c>
      <c r="Z195" s="122">
        <f>SUM(D195:Y195)-SUM(E195,F195,G195,H195,I195,J195,K195)</f>
        <v>436.1</v>
      </c>
    </row>
    <row r="196" spans="1:26" s="33" customFormat="1" ht="11.25">
      <c r="A196" s="110" t="s">
        <v>463</v>
      </c>
      <c r="B196" s="133" t="s">
        <v>462</v>
      </c>
      <c r="C196" s="109">
        <v>1993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1">
        <v>0</v>
      </c>
      <c r="L196" s="111">
        <v>0</v>
      </c>
      <c r="M196" s="111">
        <v>0</v>
      </c>
      <c r="N196" s="111">
        <v>0</v>
      </c>
      <c r="O196" s="111">
        <v>0</v>
      </c>
      <c r="P196" s="111">
        <f>ROUND(778390/(29*60+51),1)</f>
        <v>434.6</v>
      </c>
      <c r="Q196" s="112">
        <v>0</v>
      </c>
      <c r="R196" s="111">
        <v>0</v>
      </c>
      <c r="S196" s="112">
        <v>0</v>
      </c>
      <c r="T196" s="112">
        <v>0</v>
      </c>
      <c r="U196" s="111">
        <v>0</v>
      </c>
      <c r="V196" s="111">
        <v>0</v>
      </c>
      <c r="W196" s="110">
        <v>0</v>
      </c>
      <c r="X196" s="111">
        <v>0</v>
      </c>
      <c r="Y196" s="111">
        <v>0</v>
      </c>
      <c r="Z196" s="122">
        <f>SUM(D196:Y196)-SUM(D196,E196,F196,G196,H196,I196,J196)</f>
        <v>434.6</v>
      </c>
    </row>
    <row r="197" spans="1:26" s="33" customFormat="1" ht="11.25">
      <c r="A197" s="110" t="s">
        <v>465</v>
      </c>
      <c r="B197" s="133" t="s">
        <v>464</v>
      </c>
      <c r="C197" s="109">
        <v>1993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1">
        <v>0</v>
      </c>
      <c r="L197" s="111">
        <v>0</v>
      </c>
      <c r="M197" s="111">
        <v>0</v>
      </c>
      <c r="N197" s="111">
        <v>0</v>
      </c>
      <c r="O197" s="111">
        <v>0</v>
      </c>
      <c r="P197" s="111">
        <v>0</v>
      </c>
      <c r="Q197" s="111">
        <v>0</v>
      </c>
      <c r="R197" s="111">
        <v>0</v>
      </c>
      <c r="S197" s="111">
        <v>0</v>
      </c>
      <c r="T197" s="115">
        <f>ROUND(1486403/(58*60+3),1)</f>
        <v>426.8</v>
      </c>
      <c r="U197" s="111">
        <v>0</v>
      </c>
      <c r="V197" s="111">
        <v>0</v>
      </c>
      <c r="W197" s="110">
        <v>0</v>
      </c>
      <c r="X197" s="111">
        <v>0</v>
      </c>
      <c r="Y197" s="111">
        <v>0</v>
      </c>
      <c r="Z197" s="122">
        <f>SUM(D197:Y197)-SUM(D197,E197,F197,G197,H197,I197,J197)</f>
        <v>426.8</v>
      </c>
    </row>
    <row r="198" spans="1:26" s="33" customFormat="1" ht="11.25">
      <c r="A198" s="110" t="s">
        <v>467</v>
      </c>
      <c r="B198" s="133" t="s">
        <v>466</v>
      </c>
      <c r="C198" s="109">
        <v>2006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1">
        <v>0</v>
      </c>
      <c r="L198" s="111">
        <v>0</v>
      </c>
      <c r="M198" s="111">
        <v>0</v>
      </c>
      <c r="N198" s="111">
        <v>0</v>
      </c>
      <c r="O198" s="111">
        <v>0</v>
      </c>
      <c r="P198" s="111">
        <v>0</v>
      </c>
      <c r="Q198" s="111">
        <v>0</v>
      </c>
      <c r="R198" s="111">
        <v>0</v>
      </c>
      <c r="S198" s="111">
        <v>0</v>
      </c>
      <c r="T198" s="115">
        <f>ROUND(1486403/(58*60+3),1)</f>
        <v>426.8</v>
      </c>
      <c r="U198" s="111">
        <v>0</v>
      </c>
      <c r="V198" s="111">
        <v>0</v>
      </c>
      <c r="W198" s="110">
        <v>0</v>
      </c>
      <c r="X198" s="111">
        <v>0</v>
      </c>
      <c r="Y198" s="111">
        <v>0</v>
      </c>
      <c r="Z198" s="122">
        <f>SUM(D198:Y198)-SUM(D198,E198,F198,G198,H198,I198,J198)</f>
        <v>426.8</v>
      </c>
    </row>
    <row r="199" spans="1:26" s="33" customFormat="1" ht="11.25">
      <c r="A199" s="110" t="s">
        <v>469</v>
      </c>
      <c r="B199" s="133" t="s">
        <v>468</v>
      </c>
      <c r="C199" s="109">
        <v>2002</v>
      </c>
      <c r="D199" s="110">
        <v>0</v>
      </c>
      <c r="E199" s="110">
        <v>0</v>
      </c>
      <c r="F199" s="110">
        <v>0</v>
      </c>
      <c r="G199" s="110">
        <v>0</v>
      </c>
      <c r="H199" s="115">
        <f>ROUND(777321/(32*60+0),1)</f>
        <v>404.9</v>
      </c>
      <c r="I199" s="110">
        <v>0</v>
      </c>
      <c r="J199" s="116">
        <v>0</v>
      </c>
      <c r="K199" s="116">
        <v>0</v>
      </c>
      <c r="L199" s="111">
        <v>0</v>
      </c>
      <c r="M199" s="112">
        <v>0</v>
      </c>
      <c r="N199" s="112">
        <v>0</v>
      </c>
      <c r="O199" s="111">
        <v>0</v>
      </c>
      <c r="P199" s="111">
        <v>0</v>
      </c>
      <c r="Q199" s="112">
        <v>0</v>
      </c>
      <c r="R199" s="111">
        <v>0</v>
      </c>
      <c r="S199" s="112">
        <v>0</v>
      </c>
      <c r="T199" s="112">
        <v>0</v>
      </c>
      <c r="U199" s="111">
        <v>0</v>
      </c>
      <c r="V199" s="111">
        <v>0</v>
      </c>
      <c r="W199" s="110">
        <v>0</v>
      </c>
      <c r="X199" s="111">
        <v>0</v>
      </c>
      <c r="Y199" s="111">
        <v>0</v>
      </c>
      <c r="Z199" s="122">
        <f>SUM(D199:Y199)-SUM(D199,E199,F199,G199,I199,J199,K199)</f>
        <v>404.9</v>
      </c>
    </row>
    <row r="200" spans="1:26" s="33" customFormat="1" ht="11.25">
      <c r="A200" s="110" t="s">
        <v>471</v>
      </c>
      <c r="B200" s="133" t="s">
        <v>470</v>
      </c>
      <c r="C200" s="109">
        <v>1963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1">
        <v>0</v>
      </c>
      <c r="L200" s="111">
        <v>0</v>
      </c>
      <c r="M200" s="111">
        <v>0</v>
      </c>
      <c r="N200" s="111">
        <v>0</v>
      </c>
      <c r="O200" s="111">
        <v>0</v>
      </c>
      <c r="P200" s="111">
        <v>0</v>
      </c>
      <c r="Q200" s="111">
        <v>0</v>
      </c>
      <c r="R200" s="111">
        <v>0</v>
      </c>
      <c r="S200" s="111">
        <v>0</v>
      </c>
      <c r="T200" s="111">
        <v>0</v>
      </c>
      <c r="U200" s="111">
        <v>0</v>
      </c>
      <c r="V200" s="111">
        <v>0</v>
      </c>
      <c r="W200" s="110">
        <v>0</v>
      </c>
      <c r="X200" s="111">
        <f>ROUND(569900/(23*60+39),1)</f>
        <v>401.6</v>
      </c>
      <c r="Y200" s="111">
        <v>0</v>
      </c>
      <c r="Z200" s="122">
        <f>SUM(D200:Y200)-SUM(D200,E200,F200,G200,H200,I200,J200)</f>
        <v>401.6</v>
      </c>
    </row>
    <row r="201" spans="1:26" s="33" customFormat="1" ht="11.25">
      <c r="A201" s="110" t="s">
        <v>473</v>
      </c>
      <c r="B201" s="133" t="s">
        <v>472</v>
      </c>
      <c r="C201" s="109">
        <v>2003</v>
      </c>
      <c r="D201" s="110">
        <v>0</v>
      </c>
      <c r="E201" s="110">
        <v>0</v>
      </c>
      <c r="F201" s="110">
        <v>0</v>
      </c>
      <c r="G201" s="110">
        <v>0</v>
      </c>
      <c r="H201" s="115">
        <f>ROUND(777321/(32*60+17),1)</f>
        <v>401.3</v>
      </c>
      <c r="I201" s="110">
        <v>0</v>
      </c>
      <c r="J201" s="116">
        <v>0</v>
      </c>
      <c r="K201" s="116">
        <v>0</v>
      </c>
      <c r="L201" s="111">
        <v>0</v>
      </c>
      <c r="M201" s="112">
        <v>0</v>
      </c>
      <c r="N201" s="112">
        <v>0</v>
      </c>
      <c r="O201" s="111">
        <v>0</v>
      </c>
      <c r="P201" s="111">
        <v>0</v>
      </c>
      <c r="Q201" s="112">
        <v>0</v>
      </c>
      <c r="R201" s="111">
        <v>0</v>
      </c>
      <c r="S201" s="112">
        <v>0</v>
      </c>
      <c r="T201" s="112">
        <v>0</v>
      </c>
      <c r="U201" s="111">
        <v>0</v>
      </c>
      <c r="V201" s="111">
        <v>0</v>
      </c>
      <c r="W201" s="110">
        <v>0</v>
      </c>
      <c r="X201" s="111">
        <v>0</v>
      </c>
      <c r="Y201" s="111">
        <v>0</v>
      </c>
      <c r="Z201" s="122">
        <f>SUM(D201:Y201)-SUM(D201,E201,F201,G201,I201,J201,K201)</f>
        <v>401.3</v>
      </c>
    </row>
    <row r="202" spans="1:26" s="33" customFormat="1" ht="11.25">
      <c r="A202" s="110" t="s">
        <v>475</v>
      </c>
      <c r="B202" s="133" t="s">
        <v>474</v>
      </c>
      <c r="C202" s="109">
        <v>1955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1">
        <v>0</v>
      </c>
      <c r="L202" s="111">
        <v>0</v>
      </c>
      <c r="M202" s="111">
        <v>0</v>
      </c>
      <c r="N202" s="111">
        <v>0</v>
      </c>
      <c r="O202" s="111">
        <v>0</v>
      </c>
      <c r="P202" s="111">
        <v>0</v>
      </c>
      <c r="Q202" s="111">
        <v>0</v>
      </c>
      <c r="R202" s="111">
        <v>0</v>
      </c>
      <c r="S202" s="111">
        <v>0</v>
      </c>
      <c r="T202" s="115">
        <f>ROUND(1629302/(69*60+1),1)</f>
        <v>393.5</v>
      </c>
      <c r="U202" s="112">
        <v>0</v>
      </c>
      <c r="V202" s="111">
        <v>0</v>
      </c>
      <c r="W202" s="110">
        <v>0</v>
      </c>
      <c r="X202" s="102">
        <v>0</v>
      </c>
      <c r="Y202" s="102">
        <v>0</v>
      </c>
      <c r="Z202" s="122">
        <f>SUM(D202:Y202)-SUM(D202,E202,F202,G202,H202,I202,J202)</f>
        <v>393.5</v>
      </c>
    </row>
    <row r="203" spans="1:26" s="33" customFormat="1" ht="11.25">
      <c r="A203" s="110" t="s">
        <v>477</v>
      </c>
      <c r="B203" s="133" t="s">
        <v>476</v>
      </c>
      <c r="C203" s="109">
        <v>1975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1">
        <v>0</v>
      </c>
      <c r="L203" s="111">
        <v>0</v>
      </c>
      <c r="M203" s="111">
        <v>0</v>
      </c>
      <c r="N203" s="111">
        <v>0</v>
      </c>
      <c r="O203" s="111">
        <v>0</v>
      </c>
      <c r="P203" s="111">
        <v>0</v>
      </c>
      <c r="Q203" s="111">
        <v>0</v>
      </c>
      <c r="R203" s="111">
        <v>0</v>
      </c>
      <c r="S203" s="111">
        <v>0</v>
      </c>
      <c r="T203" s="115">
        <f>ROUND(1386618/(59*60+21),1)</f>
        <v>389.4</v>
      </c>
      <c r="U203" s="111">
        <v>0</v>
      </c>
      <c r="V203" s="111">
        <v>0</v>
      </c>
      <c r="W203" s="110">
        <v>0</v>
      </c>
      <c r="X203" s="102">
        <v>0</v>
      </c>
      <c r="Y203" s="102">
        <v>0</v>
      </c>
      <c r="Z203" s="122">
        <f>SUM(D203:Y203)-SUM(D203,E203,F203,G203,H203,I203,J203)</f>
        <v>389.4</v>
      </c>
    </row>
    <row r="204" spans="1:26" s="33" customFormat="1" ht="11.25">
      <c r="A204" s="110" t="s">
        <v>479</v>
      </c>
      <c r="B204" s="133" t="s">
        <v>478</v>
      </c>
      <c r="C204" s="109">
        <v>2003</v>
      </c>
      <c r="D204" s="110">
        <v>0</v>
      </c>
      <c r="E204" s="110">
        <v>0</v>
      </c>
      <c r="F204" s="110">
        <v>0</v>
      </c>
      <c r="G204" s="110">
        <v>0</v>
      </c>
      <c r="H204" s="115">
        <f>ROUND(777321/(34*60+5),1)</f>
        <v>380.1</v>
      </c>
      <c r="I204" s="110">
        <v>0</v>
      </c>
      <c r="J204" s="116">
        <v>0</v>
      </c>
      <c r="K204" s="116">
        <v>0</v>
      </c>
      <c r="L204" s="111">
        <v>0</v>
      </c>
      <c r="M204" s="112">
        <v>0</v>
      </c>
      <c r="N204" s="112">
        <v>0</v>
      </c>
      <c r="O204" s="111">
        <v>0</v>
      </c>
      <c r="P204" s="111">
        <v>0</v>
      </c>
      <c r="Q204" s="112">
        <v>0</v>
      </c>
      <c r="R204" s="111">
        <v>0</v>
      </c>
      <c r="S204" s="112">
        <v>0</v>
      </c>
      <c r="T204" s="112">
        <v>0</v>
      </c>
      <c r="U204" s="111">
        <v>0</v>
      </c>
      <c r="V204" s="111">
        <v>0</v>
      </c>
      <c r="W204" s="110">
        <v>0</v>
      </c>
      <c r="X204" s="111">
        <v>0</v>
      </c>
      <c r="Y204" s="111">
        <v>0</v>
      </c>
      <c r="Z204" s="122">
        <f>SUM(D204:Y204)-SUM(D204,E204,F204,G204,I204,J204,K204)</f>
        <v>380.1</v>
      </c>
    </row>
    <row r="205" spans="1:26" s="33" customFormat="1" ht="11.25">
      <c r="A205" s="110" t="s">
        <v>481</v>
      </c>
      <c r="B205" s="133" t="s">
        <v>480</v>
      </c>
      <c r="C205" s="109">
        <v>2009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1">
        <v>0</v>
      </c>
      <c r="L205" s="111">
        <v>0</v>
      </c>
      <c r="M205" s="111">
        <v>0</v>
      </c>
      <c r="N205" s="111">
        <v>0</v>
      </c>
      <c r="O205" s="111">
        <v>0</v>
      </c>
      <c r="P205" s="111">
        <v>0</v>
      </c>
      <c r="Q205" s="111">
        <v>0</v>
      </c>
      <c r="R205" s="111">
        <v>0</v>
      </c>
      <c r="S205" s="111">
        <v>0</v>
      </c>
      <c r="T205" s="115">
        <f>ROUND(1339616/(59*60+5),1)</f>
        <v>377.9</v>
      </c>
      <c r="U205" s="111">
        <v>0</v>
      </c>
      <c r="V205" s="111">
        <v>0</v>
      </c>
      <c r="W205" s="110">
        <v>0</v>
      </c>
      <c r="X205" s="102">
        <v>0</v>
      </c>
      <c r="Y205" s="102">
        <v>0</v>
      </c>
      <c r="Z205" s="122">
        <f>SUM(D205:Y205)-SUM(D205,E205,F205,G205,H205,I205,J205)</f>
        <v>377.9</v>
      </c>
    </row>
    <row r="206" spans="1:26" s="33" customFormat="1" ht="11.25">
      <c r="A206" s="110" t="s">
        <v>483</v>
      </c>
      <c r="B206" s="133" t="s">
        <v>482</v>
      </c>
      <c r="C206" s="109">
        <v>2002</v>
      </c>
      <c r="D206" s="110">
        <v>0</v>
      </c>
      <c r="E206" s="110">
        <v>0</v>
      </c>
      <c r="F206" s="110">
        <v>0</v>
      </c>
      <c r="G206" s="110">
        <v>0</v>
      </c>
      <c r="H206" s="115">
        <f>ROUND(700551/(30*60+57),1)</f>
        <v>377.2</v>
      </c>
      <c r="I206" s="110">
        <v>0</v>
      </c>
      <c r="J206" s="116">
        <v>0</v>
      </c>
      <c r="K206" s="116">
        <v>0</v>
      </c>
      <c r="L206" s="111">
        <v>0</v>
      </c>
      <c r="M206" s="112">
        <v>0</v>
      </c>
      <c r="N206" s="112">
        <v>0</v>
      </c>
      <c r="O206" s="111">
        <v>0</v>
      </c>
      <c r="P206" s="111">
        <v>0</v>
      </c>
      <c r="Q206" s="112">
        <v>0</v>
      </c>
      <c r="R206" s="111">
        <v>0</v>
      </c>
      <c r="S206" s="112">
        <v>0</v>
      </c>
      <c r="T206" s="112">
        <v>0</v>
      </c>
      <c r="U206" s="111">
        <v>0</v>
      </c>
      <c r="V206" s="111">
        <v>0</v>
      </c>
      <c r="W206" s="110">
        <v>0</v>
      </c>
      <c r="X206" s="111">
        <v>0</v>
      </c>
      <c r="Y206" s="111">
        <v>0</v>
      </c>
      <c r="Z206" s="122">
        <f>SUM(D206:Y206)-SUM(D206,E206,F206,G206,I206,J206,K206)</f>
        <v>377.2</v>
      </c>
    </row>
    <row r="207" spans="1:26" s="33" customFormat="1" ht="11.25">
      <c r="A207" s="132" t="s">
        <v>485</v>
      </c>
      <c r="B207" s="133" t="s">
        <v>484</v>
      </c>
      <c r="C207" s="128">
        <v>1984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5">
        <f>ROUND(1200684/(54*60+24),1)</f>
        <v>367.9</v>
      </c>
      <c r="L207" s="111">
        <v>0</v>
      </c>
      <c r="M207" s="112">
        <v>0</v>
      </c>
      <c r="N207" s="112">
        <v>0</v>
      </c>
      <c r="O207" s="111">
        <v>0</v>
      </c>
      <c r="P207" s="111">
        <v>0</v>
      </c>
      <c r="Q207" s="112">
        <v>0</v>
      </c>
      <c r="R207" s="111">
        <v>0</v>
      </c>
      <c r="S207" s="112">
        <v>0</v>
      </c>
      <c r="T207" s="112">
        <v>0</v>
      </c>
      <c r="U207" s="111">
        <v>0</v>
      </c>
      <c r="V207" s="111">
        <v>0</v>
      </c>
      <c r="W207" s="110">
        <v>0</v>
      </c>
      <c r="X207" s="111">
        <v>0</v>
      </c>
      <c r="Y207" s="111">
        <v>0</v>
      </c>
      <c r="Z207" s="122">
        <f>SUM(D207:Y207)-SUM(D207,E207,F207,G207,H207,I207,J207)</f>
        <v>367.9</v>
      </c>
    </row>
    <row r="208" spans="1:26" s="33" customFormat="1" ht="11.25">
      <c r="A208" s="110" t="s">
        <v>487</v>
      </c>
      <c r="B208" s="133" t="s">
        <v>486</v>
      </c>
      <c r="C208" s="109">
        <v>2004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1">
        <v>0</v>
      </c>
      <c r="L208" s="111">
        <v>0</v>
      </c>
      <c r="M208" s="111">
        <v>0</v>
      </c>
      <c r="N208" s="111">
        <v>0</v>
      </c>
      <c r="O208" s="111">
        <v>0</v>
      </c>
      <c r="P208" s="111">
        <v>0</v>
      </c>
      <c r="Q208" s="111">
        <v>0</v>
      </c>
      <c r="R208" s="111">
        <v>0</v>
      </c>
      <c r="S208" s="111">
        <v>0</v>
      </c>
      <c r="T208" s="115">
        <f>ROUND(1486403/(69*60+1),1)</f>
        <v>358.9</v>
      </c>
      <c r="U208" s="111">
        <v>0</v>
      </c>
      <c r="V208" s="111">
        <v>0</v>
      </c>
      <c r="W208" s="110">
        <v>0</v>
      </c>
      <c r="X208" s="111">
        <v>0</v>
      </c>
      <c r="Y208" s="111">
        <v>0</v>
      </c>
      <c r="Z208" s="122">
        <f>SUM(D208:Y208)-SUM(D208,E208,F208,G208,H208,I208,J208)</f>
        <v>358.9</v>
      </c>
    </row>
    <row r="209" spans="1:26" s="33" customFormat="1" ht="11.25">
      <c r="A209" s="110" t="s">
        <v>489</v>
      </c>
      <c r="B209" s="133" t="s">
        <v>488</v>
      </c>
      <c r="C209" s="109">
        <v>1995</v>
      </c>
      <c r="D209" s="110">
        <v>0</v>
      </c>
      <c r="E209" s="110">
        <v>0</v>
      </c>
      <c r="F209" s="110">
        <v>0</v>
      </c>
      <c r="G209" s="123">
        <f>ROUND(1795000/(83*60+44),1)</f>
        <v>357.3</v>
      </c>
      <c r="H209" s="116">
        <v>0</v>
      </c>
      <c r="I209" s="110">
        <v>0</v>
      </c>
      <c r="J209" s="116">
        <v>0</v>
      </c>
      <c r="K209" s="116">
        <v>0</v>
      </c>
      <c r="L209" s="111">
        <v>0</v>
      </c>
      <c r="M209" s="111">
        <v>0</v>
      </c>
      <c r="N209" s="112">
        <v>0</v>
      </c>
      <c r="O209" s="111">
        <v>0</v>
      </c>
      <c r="P209" s="111">
        <v>0</v>
      </c>
      <c r="Q209" s="112">
        <v>0</v>
      </c>
      <c r="R209" s="111">
        <v>0</v>
      </c>
      <c r="S209" s="112">
        <v>0</v>
      </c>
      <c r="T209" s="112">
        <v>0</v>
      </c>
      <c r="U209" s="111">
        <v>0</v>
      </c>
      <c r="V209" s="111">
        <v>0</v>
      </c>
      <c r="W209" s="110">
        <v>0</v>
      </c>
      <c r="X209" s="111">
        <v>0</v>
      </c>
      <c r="Y209" s="111">
        <v>0</v>
      </c>
      <c r="Z209" s="122">
        <f>SUM(D209:Y209)-SUM(D209,E209,F209,H209,I209,J209,K209)</f>
        <v>357.3</v>
      </c>
    </row>
    <row r="210" spans="1:26" s="33" customFormat="1" ht="11.25">
      <c r="A210" s="132" t="s">
        <v>491</v>
      </c>
      <c r="B210" s="133" t="s">
        <v>490</v>
      </c>
      <c r="C210" s="128">
        <v>1990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1">
        <v>0</v>
      </c>
      <c r="L210" s="111">
        <v>0</v>
      </c>
      <c r="M210" s="111">
        <v>0</v>
      </c>
      <c r="N210" s="111">
        <v>0</v>
      </c>
      <c r="O210" s="111">
        <v>0</v>
      </c>
      <c r="P210" s="111">
        <v>0</v>
      </c>
      <c r="Q210" s="115">
        <f>ROUND(552642/(27*60+16),1)</f>
        <v>337.8</v>
      </c>
      <c r="R210" s="111">
        <v>0</v>
      </c>
      <c r="S210" s="112">
        <v>0</v>
      </c>
      <c r="T210" s="112">
        <v>0</v>
      </c>
      <c r="U210" s="111">
        <v>0</v>
      </c>
      <c r="V210" s="111">
        <v>0</v>
      </c>
      <c r="W210" s="110">
        <v>0</v>
      </c>
      <c r="X210" s="111">
        <v>0</v>
      </c>
      <c r="Y210" s="111">
        <v>0</v>
      </c>
      <c r="Z210" s="122">
        <f>SUM(D210:Y210)-SUM(D210,E210,F210,G210,H210,I210,J210)</f>
        <v>337.8</v>
      </c>
    </row>
    <row r="211" spans="1:26" s="33" customFormat="1" ht="11.25">
      <c r="A211" s="132" t="s">
        <v>493</v>
      </c>
      <c r="B211" s="133" t="s">
        <v>492</v>
      </c>
      <c r="C211" s="128">
        <v>1995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1">
        <v>0</v>
      </c>
      <c r="L211" s="111">
        <v>0</v>
      </c>
      <c r="M211" s="111">
        <v>0</v>
      </c>
      <c r="N211" s="111">
        <v>0</v>
      </c>
      <c r="O211" s="111">
        <v>0</v>
      </c>
      <c r="P211" s="111">
        <v>0</v>
      </c>
      <c r="Q211" s="115">
        <f>ROUND(552642/(27*60+16),1)</f>
        <v>337.8</v>
      </c>
      <c r="R211" s="111">
        <v>0</v>
      </c>
      <c r="S211" s="112">
        <v>0</v>
      </c>
      <c r="T211" s="112">
        <v>0</v>
      </c>
      <c r="U211" s="111">
        <v>0</v>
      </c>
      <c r="V211" s="111">
        <v>0</v>
      </c>
      <c r="W211" s="110">
        <v>0</v>
      </c>
      <c r="X211" s="111">
        <v>0</v>
      </c>
      <c r="Y211" s="111">
        <v>0</v>
      </c>
      <c r="Z211" s="122">
        <f>SUM(D211:Y211)-SUM(D211,E211,F211,G211,H211,I211,J211)</f>
        <v>337.8</v>
      </c>
    </row>
    <row r="212" spans="1:26" s="33" customFormat="1" ht="11.25">
      <c r="A212" s="132" t="s">
        <v>495</v>
      </c>
      <c r="B212" s="133" t="s">
        <v>494</v>
      </c>
      <c r="C212" s="128">
        <v>1988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5">
        <f>ROUND(1082113/(54*60+25),1)</f>
        <v>331.4</v>
      </c>
      <c r="L212" s="111">
        <v>0</v>
      </c>
      <c r="M212" s="111">
        <v>0</v>
      </c>
      <c r="N212" s="112">
        <v>0</v>
      </c>
      <c r="O212" s="111">
        <v>0</v>
      </c>
      <c r="P212" s="111">
        <v>0</v>
      </c>
      <c r="Q212" s="112">
        <v>0</v>
      </c>
      <c r="R212" s="111">
        <v>0</v>
      </c>
      <c r="S212" s="112">
        <v>0</v>
      </c>
      <c r="T212" s="112">
        <v>0</v>
      </c>
      <c r="U212" s="111">
        <v>0</v>
      </c>
      <c r="V212" s="111">
        <v>0</v>
      </c>
      <c r="W212" s="110">
        <v>0</v>
      </c>
      <c r="X212" s="111">
        <v>0</v>
      </c>
      <c r="Y212" s="111">
        <v>0</v>
      </c>
      <c r="Z212" s="122">
        <f>SUM(D212:Y212)-SUM(D212,E212,F212,G212,H212,I212,J212)</f>
        <v>331.4</v>
      </c>
    </row>
    <row r="213" spans="1:26" s="33" customFormat="1" ht="11.25">
      <c r="A213" s="132" t="s">
        <v>497</v>
      </c>
      <c r="B213" s="133" t="s">
        <v>496</v>
      </c>
      <c r="C213" s="128">
        <v>2002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23">
        <f>ROUND(1480818/(74*60+35),1)</f>
        <v>330.9</v>
      </c>
      <c r="K213" s="116">
        <v>0</v>
      </c>
      <c r="L213" s="111">
        <v>0</v>
      </c>
      <c r="M213" s="111">
        <v>0</v>
      </c>
      <c r="N213" s="112">
        <v>0</v>
      </c>
      <c r="O213" s="111">
        <v>0</v>
      </c>
      <c r="P213" s="111">
        <v>0</v>
      </c>
      <c r="Q213" s="112">
        <v>0</v>
      </c>
      <c r="R213" s="111">
        <v>0</v>
      </c>
      <c r="S213" s="112">
        <v>0</v>
      </c>
      <c r="T213" s="112">
        <v>0</v>
      </c>
      <c r="U213" s="111">
        <v>0</v>
      </c>
      <c r="V213" s="111">
        <v>0</v>
      </c>
      <c r="W213" s="110">
        <v>0</v>
      </c>
      <c r="X213" s="111">
        <v>0</v>
      </c>
      <c r="Y213" s="111">
        <v>0</v>
      </c>
      <c r="Z213" s="122">
        <f>SUM(D213:Y213)-SUM(D213,E213,F213,G213,H213,I213,K213)</f>
        <v>330.9</v>
      </c>
    </row>
    <row r="214" spans="1:26" s="33" customFormat="1" ht="11.25">
      <c r="A214" s="132" t="s">
        <v>499</v>
      </c>
      <c r="B214" s="133" t="s">
        <v>498</v>
      </c>
      <c r="C214" s="128">
        <v>2003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23">
        <f>ROUND(1480818/(74*60+36),1)</f>
        <v>330.8</v>
      </c>
      <c r="K214" s="116">
        <v>0</v>
      </c>
      <c r="L214" s="111">
        <v>0</v>
      </c>
      <c r="M214" s="111">
        <v>0</v>
      </c>
      <c r="N214" s="112">
        <v>0</v>
      </c>
      <c r="O214" s="111">
        <v>0</v>
      </c>
      <c r="P214" s="111">
        <v>0</v>
      </c>
      <c r="Q214" s="112">
        <v>0</v>
      </c>
      <c r="R214" s="111">
        <v>0</v>
      </c>
      <c r="S214" s="112">
        <v>0</v>
      </c>
      <c r="T214" s="112">
        <v>0</v>
      </c>
      <c r="U214" s="111">
        <v>0</v>
      </c>
      <c r="V214" s="111">
        <v>0</v>
      </c>
      <c r="W214" s="110">
        <v>0</v>
      </c>
      <c r="X214" s="111">
        <v>0</v>
      </c>
      <c r="Y214" s="111">
        <v>0</v>
      </c>
      <c r="Z214" s="122">
        <f>SUM(D214:Y214)-SUM(D214,E214,F214,G214,H214,I214,K214)</f>
        <v>330.8</v>
      </c>
    </row>
    <row r="215" spans="1:26" s="33" customFormat="1" ht="11.25">
      <c r="A215" s="110" t="s">
        <v>501</v>
      </c>
      <c r="B215" s="133" t="s">
        <v>500</v>
      </c>
      <c r="C215" s="109">
        <v>1998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1">
        <v>0</v>
      </c>
      <c r="L215" s="111">
        <v>0</v>
      </c>
      <c r="M215" s="111">
        <v>0</v>
      </c>
      <c r="N215" s="111">
        <v>0</v>
      </c>
      <c r="O215" s="111">
        <v>0</v>
      </c>
      <c r="P215" s="111">
        <v>0</v>
      </c>
      <c r="Q215" s="111">
        <v>0</v>
      </c>
      <c r="R215" s="111">
        <v>0</v>
      </c>
      <c r="S215" s="111">
        <v>0</v>
      </c>
      <c r="T215" s="111">
        <v>0</v>
      </c>
      <c r="U215" s="111">
        <v>0</v>
      </c>
      <c r="V215" s="111">
        <v>0</v>
      </c>
      <c r="W215" s="111">
        <v>0</v>
      </c>
      <c r="X215" s="111">
        <v>0</v>
      </c>
      <c r="Y215" s="115">
        <f>ROUND(778390/(46*60+10),1)</f>
        <v>281</v>
      </c>
      <c r="Z215" s="122">
        <f>SUM(D215:Y215)-SUM(D215,E215,F215,G215,H215,I215,J215)</f>
        <v>281</v>
      </c>
    </row>
  </sheetData>
  <sheetProtection/>
  <printOptions/>
  <pageMargins left="0" right="0" top="0" bottom="0" header="0.5118110236220472" footer="0.5118110236220472"/>
  <pageSetup fitToHeight="0" fitToWidth="1" horizontalDpi="200" verticalDpi="2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0" sqref="A10:C14"/>
    </sheetView>
  </sheetViews>
  <sheetFormatPr defaultColWidth="9.00390625" defaultRowHeight="15" customHeight="1"/>
  <cols>
    <col min="1" max="3" width="27.50390625" style="0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Michal</cp:lastModifiedBy>
  <cp:lastPrinted>2019-03-29T11:37:23Z</cp:lastPrinted>
  <dcterms:created xsi:type="dcterms:W3CDTF">2001-02-17T11:08:09Z</dcterms:created>
  <dcterms:modified xsi:type="dcterms:W3CDTF">2019-03-30T20:18:18Z</dcterms:modified>
  <cp:category/>
  <cp:version/>
  <cp:contentType/>
  <cp:contentStatus/>
</cp:coreProperties>
</file>